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Anketa" sheetId="1" r:id="rId1"/>
    <sheet name="Eilute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<sst xmlns="http://schemas.openxmlformats.org/spreadsheetml/2006/main" count="194" uniqueCount="165">
  <si>
    <t>Šiaulių Didždvario gimnazija</t>
  </si>
  <si>
    <t>Iš viso dalykų:</t>
  </si>
  <si>
    <t>Vardas</t>
  </si>
  <si>
    <t>Pavardė</t>
  </si>
  <si>
    <t>Pamokų skaičius III klasėje:</t>
  </si>
  <si>
    <t>Klasė</t>
  </si>
  <si>
    <t>Pamokų skaičius IV klasėje:</t>
  </si>
  <si>
    <r>
      <t xml:space="preserve">Pasirinktą dalyką, kursą, modulį pažymėkite: </t>
    </r>
    <r>
      <rPr>
        <b/>
        <sz val="9"/>
        <rFont val="Wingdings 2"/>
        <family val="1"/>
      </rPr>
      <t>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.</t>
    </r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</si>
  <si>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</si>
  <si>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</si>
  <si>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</si>
  <si>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</si>
  <si>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</si>
  <si>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</si>
  <si>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</si>
  <si>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</si>
  <si>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</si>
  <si>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</si>
  <si>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</si>
  <si>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</si>
  <si>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</si>
  <si>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</si>
  <si>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</si>
  <si>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Dorinis ugdymas</t>
  </si>
  <si>
    <t>Etika</t>
  </si>
  <si>
    <t>–</t>
  </si>
  <si>
    <t>Tikyba</t>
  </si>
  <si>
    <t>Gimtoji kalba</t>
  </si>
  <si>
    <t>Lietuvių kalba ir literatūra</t>
  </si>
  <si>
    <t>Užsienio kalba</t>
  </si>
  <si>
    <t>Užsienio kalba (anglų) (1-oji)</t>
  </si>
  <si>
    <t>Socialinis ugdymas</t>
  </si>
  <si>
    <t>Istorija</t>
  </si>
  <si>
    <t>Geografija</t>
  </si>
  <si>
    <t>Matematika</t>
  </si>
  <si>
    <t>Informacinės technologijos</t>
  </si>
  <si>
    <t>Elektroninė leidyba</t>
  </si>
  <si>
    <t>Programavimas</t>
  </si>
  <si>
    <t>Gamtamokslinis ugdymas</t>
  </si>
  <si>
    <t>Biologija</t>
  </si>
  <si>
    <t>Chemija</t>
  </si>
  <si>
    <t>Fizika</t>
  </si>
  <si>
    <t>Dailė</t>
  </si>
  <si>
    <t>Grafinis dizainas</t>
  </si>
  <si>
    <t>Muzika</t>
  </si>
  <si>
    <t>Šokis</t>
  </si>
  <si>
    <t>Teatras</t>
  </si>
  <si>
    <t>Turizmas ir mityba</t>
  </si>
  <si>
    <t>Statyba ir medžio apdirbimas</t>
  </si>
  <si>
    <t>Kūno kultūra</t>
  </si>
  <si>
    <t>Bendroji kūno kultūra</t>
  </si>
  <si>
    <r>
      <t>PASIRENKAMIEJI DALYKAI</t>
    </r>
    <r>
      <rPr>
        <sz val="11"/>
        <rFont val="Times New Roman"/>
        <family val="1"/>
      </rPr>
      <t>, įskaičiuojami į dalykų ir pamokų skaičių</t>
    </r>
  </si>
  <si>
    <t>Kalbos</t>
  </si>
  <si>
    <t>Užsienio kalba (prancūzų) (2-oji)</t>
  </si>
  <si>
    <t>Užsienio kalba (rusų) (2-oji)</t>
  </si>
  <si>
    <t>Užsienio kalba (vokiečių) (2-oji)</t>
  </si>
  <si>
    <t>Braižyba</t>
  </si>
  <si>
    <t>Ekonomika ir verslumas</t>
  </si>
  <si>
    <t>Prancūzų kalba pradedantiesiems</t>
  </si>
  <si>
    <t>Psichologija</t>
  </si>
  <si>
    <t>Anglų kalba</t>
  </si>
  <si>
    <t>Lietuvių kalba</t>
  </si>
  <si>
    <t>Teksto kūrimas ir redagavimas, A kursui</t>
  </si>
  <si>
    <t>Darbas su istorijos šaltiniais, A kursui</t>
  </si>
  <si>
    <t>Eksperimentiniai chemijos darbai, A kursui</t>
  </si>
  <si>
    <t>A kursu (išplėstiniu):</t>
  </si>
  <si>
    <t>B kursu (bendruoju):</t>
  </si>
  <si>
    <t>Data</t>
  </si>
  <si>
    <t>Mokinio parašas</t>
  </si>
  <si>
    <t>Tėvų parašas</t>
  </si>
  <si>
    <t>Užpildytą anketą atneškite į karjeros centrą</t>
  </si>
  <si>
    <t>Pavardė, vardas</t>
  </si>
  <si>
    <t>Branduolio dalykai</t>
  </si>
  <si>
    <t>Iš viso val.</t>
  </si>
  <si>
    <t>Dalykų skaičius</t>
  </si>
  <si>
    <t>A kursu</t>
  </si>
  <si>
    <t>Lietuvių kalba B</t>
  </si>
  <si>
    <t>Lietuvių A 5 val.</t>
  </si>
  <si>
    <t>Lietuvių A 6 val.</t>
  </si>
  <si>
    <t>I užsienio kalba</t>
  </si>
  <si>
    <t>Matematika B</t>
  </si>
  <si>
    <t>Matematika A 5 val.</t>
  </si>
  <si>
    <t>Matematika A 6 val.</t>
  </si>
  <si>
    <t>Menai</t>
  </si>
  <si>
    <t>Technologijos</t>
  </si>
  <si>
    <t>II užsienio kalba</t>
  </si>
  <si>
    <t>Informacinės technologijos B</t>
  </si>
  <si>
    <r>
      <t>Informacinės technologijos A</t>
    </r>
    <r>
      <rPr>
        <sz val="8"/>
        <rFont val="Arial"/>
        <family val="2"/>
      </rPr>
      <t xml:space="preserve"> (programavimas)</t>
    </r>
  </si>
  <si>
    <r>
      <t>Informacinės technologijos A</t>
    </r>
    <r>
      <rPr>
        <sz val="8"/>
        <rFont val="Arial"/>
        <family val="2"/>
      </rPr>
      <t xml:space="preserve"> (elektroninė leidyba)</t>
    </r>
  </si>
  <si>
    <r>
      <t>Informacinės technologijos A</t>
    </r>
    <r>
      <rPr>
        <sz val="8"/>
        <rFont val="Arial"/>
        <family val="2"/>
      </rPr>
      <t xml:space="preserve">  (duomenų bazių kūrimas ir valdymas)</t>
    </r>
  </si>
  <si>
    <t>Ispanų kalba pradedantiesiem</t>
  </si>
  <si>
    <t>Ekonomikos teorijos pagrindai</t>
  </si>
  <si>
    <t>Vadybos pagrindai</t>
  </si>
  <si>
    <t>Teisės pagrindai</t>
  </si>
  <si>
    <t>Anglų k.</t>
  </si>
  <si>
    <t>IT</t>
  </si>
  <si>
    <t>Viešo kalbėjimo modulis</t>
  </si>
  <si>
    <t>Ekonomika anglų kalba</t>
  </si>
  <si>
    <t>Etika B</t>
  </si>
  <si>
    <t>Tikyba šv r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</si>
  <si>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</si>
  <si>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</si>
  <si>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</si>
  <si>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</si>
  <si>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</si>
  <si>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</si>
  <si>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Istorija B</t>
  </si>
  <si>
    <t>Istorija A 3 val.</t>
  </si>
  <si>
    <t>Istorija A 4 val.</t>
  </si>
  <si>
    <t>Gegorafija B</t>
  </si>
  <si>
    <t>Gegografija A</t>
  </si>
  <si>
    <t>Biologija B</t>
  </si>
  <si>
    <t>Bilogija A</t>
  </si>
  <si>
    <t>Chemija B</t>
  </si>
  <si>
    <t>Chemija A</t>
  </si>
  <si>
    <t>Fizika B</t>
  </si>
  <si>
    <t>Fizika A</t>
  </si>
  <si>
    <t>Dailė B</t>
  </si>
  <si>
    <t>Dailė A</t>
  </si>
  <si>
    <t>Grafinis dizaimas</t>
  </si>
  <si>
    <t>Muzika B</t>
  </si>
  <si>
    <t>Muzika A</t>
  </si>
  <si>
    <t>Teatras B</t>
  </si>
  <si>
    <t>Teatras A</t>
  </si>
  <si>
    <t>Šokis B</t>
  </si>
  <si>
    <t>Turizmas ir mityba B</t>
  </si>
  <si>
    <t>Taikomojo meno, amatų ir dizaino technologijos B</t>
  </si>
  <si>
    <t>Tekstilės ir aprangos technologijos B</t>
  </si>
  <si>
    <t>Verslas ir vadyba, mažmeninė prekyba</t>
  </si>
  <si>
    <t>Statyba ir medžio apdirbimas B</t>
  </si>
  <si>
    <t>Bendroji kūno kultūra B</t>
  </si>
  <si>
    <t>Aerobika B</t>
  </si>
  <si>
    <t>Rusų kalba</t>
  </si>
  <si>
    <t>Vokiečių kalba</t>
  </si>
  <si>
    <t>Prancūzų kalba</t>
  </si>
  <si>
    <t>Lotynų kalba</t>
  </si>
  <si>
    <t>Kaligrafijos pagrindai</t>
  </si>
  <si>
    <t>Pasiruošimas IELTS egzaminui</t>
  </si>
  <si>
    <t>Kalbinių kompetencijų ugdymas</t>
  </si>
  <si>
    <t>Matematikos olimpiadinių uždavinių sprendimas, A kursui</t>
  </si>
  <si>
    <t>Eksperimentas biologijoje, A kursui</t>
  </si>
  <si>
    <t>Chemijos eksperimentų, uždavinių ir tekstinių užduočių sprendimas, A kusui</t>
  </si>
  <si>
    <t>Medžiagos ir jų kitimai</t>
  </si>
  <si>
    <t>Fizikos  uždavinių sprendimo būdai ir metodai, A kursui</t>
  </si>
  <si>
    <t>Programavimo pagrindai</t>
  </si>
  <si>
    <t>Programavimo praktikumas</t>
  </si>
  <si>
    <t>Pasirinkta sporto šaka</t>
  </si>
  <si>
    <t>Darbas su geografijos šaltiniais A kursui</t>
  </si>
  <si>
    <t xml:space="preserve"> –</t>
  </si>
  <si>
    <r>
      <t>Bendrasis kursas</t>
    </r>
    <r>
      <rPr>
        <b/>
        <sz val="10"/>
        <rFont val="Times New Roman"/>
        <family val="1"/>
      </rPr>
      <t xml:space="preserve"> (B)</t>
    </r>
  </si>
  <si>
    <t>Tekstilė ir dizainas</t>
  </si>
  <si>
    <t>Menai ir technologijos</t>
  </si>
  <si>
    <t>Kompiuterinės muzikos technologijos</t>
  </si>
  <si>
    <t>Brandos darbas</t>
  </si>
  <si>
    <t>Užsienio kalba (prancūzų) (3-oji)</t>
  </si>
  <si>
    <t>Užsienio kalba (vokiečių) (3-oji)</t>
  </si>
  <si>
    <t>Ląstelės biologija ir chemija, A kursui</t>
  </si>
  <si>
    <t xml:space="preserve">Modernioji biotechnologija </t>
  </si>
  <si>
    <t>Išplėstinis kursas (A)</t>
  </si>
  <si>
    <r>
      <t>PASIRENKAMIEJI DALYKAI</t>
    </r>
    <r>
      <rPr>
        <sz val="10"/>
        <rFont val="Times New Roman"/>
        <family val="1"/>
      </rPr>
      <t>, įskaičiuojami į dalykų ir pamokų skaičių</t>
    </r>
  </si>
  <si>
    <r>
      <t>MODULIAI</t>
    </r>
    <r>
      <rPr>
        <sz val="10"/>
        <rFont val="Times New Roman"/>
        <family val="1"/>
      </rPr>
      <t>, įskaičiuojami į pamokų skaičių, bet neįskaičiuojami į dalykų skaičių</t>
    </r>
  </si>
  <si>
    <t>2020–2022 m. individualus ugdymo planas (III–IV kl.)</t>
  </si>
  <si>
    <t>Fizka</t>
  </si>
  <si>
    <t>"Fizikos kompleksinių uždavinių sprendimas", A kursui</t>
  </si>
  <si>
    <t xml:space="preserve">PATVIRTINTA
Šiaulių Didždvario gimnazijos
direktoriaus 2020-03-31
 įsakymu Nr. V-37
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</si>
</sst>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TRUE&quot;;&quot;TRUE&quot;;&quot;FALSE&quot;"/>
    <numFmt numFmtId="189" formatCode="yyyy\-mm\-d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Wingdings 2"/>
      <family val="1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0"/>
      <color indexed="12"/>
      <name val="Times New Roman"/>
      <family val="1"/>
    </font>
    <font>
      <sz val="7"/>
      <color indexed="12"/>
      <name val="Times New Roman"/>
      <family val="1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8"/>
      <color indexed="59"/>
      <name val="Calibri Light"/>
      <family val="2"/>
    </font>
    <font>
      <b/>
      <i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Times New Roman"/>
      <family val="1"/>
    </font>
    <font>
      <b/>
      <sz val="8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/>
      <bottom style="hair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 style="medium"/>
    </border>
    <border>
      <left style="thin">
        <color indexed="59"/>
      </left>
      <right style="thin"/>
      <top style="medium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medium">
        <color indexed="59"/>
      </bottom>
    </border>
    <border>
      <left style="thin">
        <color indexed="59"/>
      </left>
      <right style="thin"/>
      <top style="medium">
        <color indexed="59"/>
      </top>
      <bottom style="medium">
        <color indexed="59"/>
      </bottom>
    </border>
    <border>
      <left style="thin">
        <color indexed="59"/>
      </left>
      <right style="thin"/>
      <top>
        <color indexed="63"/>
      </top>
      <bottom style="medium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medium">
        <color indexed="59"/>
      </bottom>
    </border>
    <border>
      <left style="thin">
        <color indexed="59"/>
      </left>
      <right style="thin"/>
      <top style="thin">
        <color indexed="59"/>
      </top>
      <bottom style="thin"/>
    </border>
    <border>
      <left style="thin"/>
      <right style="thin">
        <color indexed="59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hair"/>
    </border>
    <border>
      <left style="thin">
        <color indexed="59"/>
      </left>
      <right style="thin">
        <color indexed="59"/>
      </right>
      <top style="hair">
        <color indexed="59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hair"/>
      <bottom style="hair"/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/>
      <right>
        <color indexed="63"/>
      </right>
      <top style="hair">
        <color indexed="59"/>
      </top>
      <bottom style="thin"/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thin"/>
    </border>
    <border>
      <left style="thin">
        <color indexed="59"/>
      </left>
      <right style="thin"/>
      <top style="hair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/>
      <top style="thin"/>
      <bottom style="hair">
        <color indexed="59"/>
      </bottom>
    </border>
    <border>
      <left style="thin">
        <color indexed="59"/>
      </left>
      <right style="thin"/>
      <top>
        <color indexed="63"/>
      </top>
      <bottom style="hair">
        <color indexed="59"/>
      </bottom>
    </border>
    <border>
      <left style="thin">
        <color indexed="59"/>
      </left>
      <right style="thin"/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hair"/>
      <bottom style="hair">
        <color indexed="5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/>
    </border>
    <border>
      <left style="thin"/>
      <right style="thin">
        <color indexed="59"/>
      </right>
      <top style="thin"/>
      <bottom>
        <color indexed="63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indexed="59"/>
      </right>
      <top style="hair"/>
      <bottom style="thin"/>
    </border>
    <border>
      <left style="thin">
        <color indexed="59"/>
      </left>
      <right style="thin">
        <color indexed="59"/>
      </right>
      <top style="hair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20" borderId="4" applyNumberFormat="0" applyAlignment="0" applyProtection="0"/>
    <xf numFmtId="0" fontId="15" fillId="21" borderId="5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9" fillId="20" borderId="9" applyNumberFormat="0" applyAlignment="0" applyProtection="0"/>
    <xf numFmtId="0" fontId="14" fillId="0" borderId="10" applyNumberFormat="0" applyFill="0" applyAlignment="0" applyProtection="0"/>
    <xf numFmtId="0" fontId="10" fillId="23" borderId="0" applyNumberFormat="0" applyBorder="0" applyAlignment="0" applyProtection="0"/>
    <xf numFmtId="0" fontId="0" fillId="24" borderId="11" applyNumberFormat="0" applyAlignment="0" applyProtection="0"/>
    <xf numFmtId="0" fontId="57" fillId="25" borderId="12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8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7" fillId="0" borderId="15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vertical="center" wrapText="1"/>
    </xf>
    <xf numFmtId="188" fontId="18" fillId="0" borderId="22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188" fontId="18" fillId="0" borderId="0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188" fontId="18" fillId="0" borderId="19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7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8" fillId="0" borderId="19" xfId="0" applyNumberFormat="1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18" fillId="0" borderId="32" xfId="0" applyFont="1" applyBorder="1" applyAlignment="1">
      <alignment vertical="center" wrapText="1"/>
    </xf>
    <xf numFmtId="188" fontId="18" fillId="0" borderId="23" xfId="0" applyNumberFormat="1" applyFont="1" applyFill="1" applyBorder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188" fontId="18" fillId="0" borderId="35" xfId="0" applyNumberFormat="1" applyFont="1" applyFill="1" applyBorder="1" applyAlignment="1">
      <alignment vertical="center"/>
    </xf>
    <xf numFmtId="188" fontId="18" fillId="0" borderId="36" xfId="0" applyNumberFormat="1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Border="1" applyAlignment="1">
      <alignment vertical="center" wrapText="1"/>
    </xf>
    <xf numFmtId="0" fontId="18" fillId="0" borderId="30" xfId="0" applyFont="1" applyFill="1" applyBorder="1" applyAlignment="1">
      <alignment vertical="center"/>
    </xf>
    <xf numFmtId="0" fontId="18" fillId="26" borderId="16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0" fontId="18" fillId="0" borderId="15" xfId="0" applyNumberFormat="1" applyFont="1" applyBorder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88" fontId="18" fillId="0" borderId="15" xfId="0" applyNumberFormat="1" applyFont="1" applyFill="1" applyBorder="1" applyAlignment="1">
      <alignment vertical="center"/>
    </xf>
    <xf numFmtId="188" fontId="18" fillId="0" borderId="27" xfId="0" applyNumberFormat="1" applyFont="1" applyFill="1" applyBorder="1" applyAlignment="1">
      <alignment vertical="center"/>
    </xf>
    <xf numFmtId="188" fontId="18" fillId="0" borderId="43" xfId="0" applyNumberFormat="1" applyFont="1" applyFill="1" applyBorder="1" applyAlignment="1">
      <alignment vertical="center"/>
    </xf>
    <xf numFmtId="188" fontId="18" fillId="0" borderId="33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8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37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18" fillId="0" borderId="42" xfId="0" applyFont="1" applyBorder="1" applyAlignment="1">
      <alignment vertical="center" wrapText="1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vertical="center" wrapText="1"/>
    </xf>
    <xf numFmtId="0" fontId="18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18" fillId="27" borderId="15" xfId="0" applyFont="1" applyFill="1" applyBorder="1" applyAlignment="1">
      <alignment horizontal="left" vertical="center" wrapText="1"/>
    </xf>
    <xf numFmtId="0" fontId="18" fillId="0" borderId="46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8" fillId="27" borderId="28" xfId="0" applyFont="1" applyFill="1" applyBorder="1" applyAlignment="1">
      <alignment horizontal="left" vertical="center" wrapText="1"/>
    </xf>
    <xf numFmtId="0" fontId="18" fillId="0" borderId="47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36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textRotation="90" wrapText="1"/>
    </xf>
    <xf numFmtId="0" fontId="38" fillId="0" borderId="49" xfId="0" applyFont="1" applyFill="1" applyBorder="1" applyAlignment="1">
      <alignment horizontal="center" textRotation="90" wrapText="1"/>
    </xf>
    <xf numFmtId="0" fontId="38" fillId="0" borderId="50" xfId="0" applyFont="1" applyFill="1" applyBorder="1" applyAlignment="1">
      <alignment horizontal="center" textRotation="90" wrapText="1"/>
    </xf>
    <xf numFmtId="0" fontId="37" fillId="0" borderId="50" xfId="0" applyFont="1" applyFill="1" applyBorder="1" applyAlignment="1">
      <alignment vertical="center" textRotation="90" wrapText="1"/>
    </xf>
    <xf numFmtId="0" fontId="37" fillId="0" borderId="49" xfId="0" applyFont="1" applyFill="1" applyBorder="1" applyAlignment="1">
      <alignment horizontal="center" vertical="center" textRotation="90" wrapText="1"/>
    </xf>
    <xf numFmtId="0" fontId="38" fillId="0" borderId="49" xfId="0" applyFont="1" applyFill="1" applyBorder="1" applyAlignment="1">
      <alignment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8" fillId="0" borderId="51" xfId="0" applyFont="1" applyFill="1" applyBorder="1" applyAlignment="1">
      <alignment textRotation="90" wrapText="1"/>
    </xf>
    <xf numFmtId="0" fontId="0" fillId="0" borderId="49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wrapText="1"/>
    </xf>
    <xf numFmtId="0" fontId="0" fillId="0" borderId="53" xfId="0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vertical="center" wrapText="1"/>
    </xf>
    <xf numFmtId="0" fontId="18" fillId="0" borderId="33" xfId="0" applyNumberFormat="1" applyFont="1" applyFill="1" applyBorder="1" applyAlignment="1">
      <alignment vertical="center"/>
    </xf>
    <xf numFmtId="0" fontId="18" fillId="0" borderId="55" xfId="0" applyNumberFormat="1" applyFont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18" fillId="27" borderId="58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18" fillId="27" borderId="33" xfId="0" applyFont="1" applyFill="1" applyBorder="1" applyAlignment="1">
      <alignment horizontal="left" vertical="center" wrapText="1"/>
    </xf>
    <xf numFmtId="0" fontId="18" fillId="0" borderId="60" xfId="0" applyFont="1" applyBorder="1" applyAlignment="1">
      <alignment vertical="center" wrapText="1"/>
    </xf>
    <xf numFmtId="0" fontId="18" fillId="0" borderId="55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18" fillId="0" borderId="61" xfId="0" applyFont="1" applyBorder="1" applyAlignment="1">
      <alignment vertical="center" wrapText="1"/>
    </xf>
    <xf numFmtId="0" fontId="18" fillId="0" borderId="62" xfId="0" applyNumberFormat="1" applyFont="1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35" fillId="0" borderId="33" xfId="0" applyFont="1" applyBorder="1" applyAlignment="1">
      <alignment horizontal="center" vertical="center" wrapText="1"/>
    </xf>
    <xf numFmtId="0" fontId="18" fillId="0" borderId="63" xfId="0" applyNumberFormat="1" applyFont="1" applyBorder="1" applyAlignment="1">
      <alignment vertical="center"/>
    </xf>
    <xf numFmtId="0" fontId="35" fillId="0" borderId="5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188" fontId="18" fillId="0" borderId="62" xfId="0" applyNumberFormat="1" applyFont="1" applyBorder="1" applyAlignment="1">
      <alignment vertical="center"/>
    </xf>
    <xf numFmtId="0" fontId="18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67" xfId="0" applyNumberFormat="1" applyFont="1" applyBorder="1" applyAlignment="1">
      <alignment vertical="center"/>
    </xf>
    <xf numFmtId="0" fontId="18" fillId="0" borderId="7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23" fillId="0" borderId="46" xfId="0" applyFont="1" applyBorder="1" applyAlignment="1">
      <alignment vertical="center" wrapText="1"/>
    </xf>
    <xf numFmtId="0" fontId="18" fillId="0" borderId="79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vertical="center" wrapText="1"/>
    </xf>
    <xf numFmtId="0" fontId="18" fillId="0" borderId="82" xfId="0" applyFont="1" applyBorder="1" applyAlignment="1">
      <alignment vertical="center"/>
    </xf>
    <xf numFmtId="0" fontId="18" fillId="0" borderId="28" xfId="0" applyNumberFormat="1" applyFont="1" applyFill="1" applyBorder="1" applyAlignment="1">
      <alignment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 wrapText="1"/>
    </xf>
    <xf numFmtId="0" fontId="18" fillId="0" borderId="58" xfId="0" applyFont="1" applyBorder="1" applyAlignment="1">
      <alignment vertical="center"/>
    </xf>
    <xf numFmtId="188" fontId="18" fillId="0" borderId="58" xfId="0" applyNumberFormat="1" applyFont="1" applyBorder="1" applyAlignment="1">
      <alignment vertical="center"/>
    </xf>
    <xf numFmtId="0" fontId="18" fillId="0" borderId="82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vertical="center" wrapText="1"/>
    </xf>
    <xf numFmtId="0" fontId="18" fillId="0" borderId="35" xfId="0" applyNumberFormat="1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28" borderId="63" xfId="0" applyFont="1" applyFill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18" fillId="26" borderId="91" xfId="0" applyFont="1" applyFill="1" applyBorder="1" applyAlignment="1">
      <alignment horizontal="center" vertical="center" wrapText="1"/>
    </xf>
    <xf numFmtId="0" fontId="27" fillId="0" borderId="91" xfId="0" applyFont="1" applyBorder="1" applyAlignment="1">
      <alignment horizontal="left" vertical="center" wrapText="1"/>
    </xf>
    <xf numFmtId="0" fontId="18" fillId="0" borderId="67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92" xfId="0" applyFont="1" applyBorder="1" applyAlignment="1">
      <alignment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188" fontId="18" fillId="0" borderId="95" xfId="0" applyNumberFormat="1" applyFont="1" applyBorder="1" applyAlignment="1">
      <alignment vertical="center"/>
    </xf>
    <xf numFmtId="188" fontId="18" fillId="0" borderId="46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89" fontId="61" fillId="0" borderId="1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96" xfId="0" applyFont="1" applyBorder="1" applyAlignment="1">
      <alignment vertical="center" wrapText="1"/>
    </xf>
    <xf numFmtId="0" fontId="34" fillId="0" borderId="97" xfId="0" applyFont="1" applyBorder="1" applyAlignment="1">
      <alignment vertical="center"/>
    </xf>
    <xf numFmtId="0" fontId="27" fillId="0" borderId="98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27" fillId="29" borderId="63" xfId="0" applyFont="1" applyFill="1" applyBorder="1" applyAlignment="1" applyProtection="1">
      <alignment horizontal="center" vertical="center" wrapText="1"/>
      <protection hidden="1"/>
    </xf>
    <xf numFmtId="0" fontId="27" fillId="0" borderId="58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58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62" fillId="0" borderId="0" xfId="0" applyFont="1" applyAlignment="1">
      <alignment horizontal="right" vertical="top" wrapText="1"/>
    </xf>
    <xf numFmtId="0" fontId="4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6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23" fillId="0" borderId="58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26" borderId="28" xfId="0" applyFont="1" applyFill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26" borderId="40" xfId="0" applyFont="1" applyFill="1" applyBorder="1" applyAlignment="1">
      <alignment vertical="center" wrapText="1"/>
    </xf>
    <xf numFmtId="0" fontId="18" fillId="0" borderId="102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top" wrapText="1"/>
    </xf>
    <xf numFmtId="0" fontId="27" fillId="0" borderId="20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0" fontId="18" fillId="0" borderId="103" xfId="0" applyFont="1" applyFill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04" xfId="0" applyFont="1" applyFill="1" applyBorder="1" applyAlignment="1">
      <alignment vertical="center" wrapText="1"/>
    </xf>
    <xf numFmtId="0" fontId="18" fillId="26" borderId="105" xfId="0" applyFont="1" applyFill="1" applyBorder="1" applyAlignment="1">
      <alignment vertical="center" wrapText="1"/>
    </xf>
    <xf numFmtId="0" fontId="18" fillId="0" borderId="93" xfId="0" applyFont="1" applyBorder="1" applyAlignment="1">
      <alignment vertical="center" wrapText="1"/>
    </xf>
    <xf numFmtId="0" fontId="34" fillId="0" borderId="106" xfId="0" applyFont="1" applyBorder="1" applyAlignment="1">
      <alignment vertical="center" wrapText="1"/>
    </xf>
    <xf numFmtId="0" fontId="18" fillId="26" borderId="106" xfId="0" applyFont="1" applyFill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8" fillId="29" borderId="107" xfId="0" applyFont="1" applyFill="1" applyBorder="1" applyAlignment="1">
      <alignment vertical="center" wrapText="1"/>
    </xf>
    <xf numFmtId="0" fontId="34" fillId="0" borderId="57" xfId="0" applyFont="1" applyBorder="1" applyAlignment="1">
      <alignment vertical="center" wrapText="1"/>
    </xf>
    <xf numFmtId="0" fontId="18" fillId="29" borderId="63" xfId="0" applyFont="1" applyFill="1" applyBorder="1" applyAlignment="1">
      <alignment vertical="center" wrapText="1"/>
    </xf>
    <xf numFmtId="0" fontId="35" fillId="0" borderId="6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7" fillId="0" borderId="108" xfId="0" applyFont="1" applyBorder="1" applyAlignment="1">
      <alignment horizontal="left" vertical="center" wrapText="1"/>
    </xf>
    <xf numFmtId="0" fontId="18" fillId="0" borderId="109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34" fillId="0" borderId="91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34" fillId="0" borderId="33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34" fillId="0" borderId="111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left" vertical="center" wrapText="1"/>
    </xf>
    <xf numFmtId="0" fontId="34" fillId="0" borderId="91" xfId="0" applyFont="1" applyBorder="1" applyAlignment="1">
      <alignment horizontal="left" vertical="center" wrapText="1"/>
    </xf>
    <xf numFmtId="0" fontId="18" fillId="0" borderId="93" xfId="0" applyFont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34" fillId="0" borderId="115" xfId="0" applyFont="1" applyBorder="1" applyAlignment="1">
      <alignment horizontal="left" vertical="center" wrapText="1"/>
    </xf>
    <xf numFmtId="0" fontId="34" fillId="0" borderId="116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119" xfId="0" applyFont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34" fillId="0" borderId="121" xfId="0" applyFont="1" applyBorder="1" applyAlignment="1">
      <alignment horizontal="left" vertical="center" wrapText="1"/>
    </xf>
    <xf numFmtId="0" fontId="34" fillId="0" borderId="122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123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08" xfId="0" applyFont="1" applyBorder="1" applyAlignment="1">
      <alignment horizontal="left" vertical="center" wrapText="1"/>
    </xf>
    <xf numFmtId="0" fontId="34" fillId="0" borderId="124" xfId="0" applyFont="1" applyBorder="1" applyAlignment="1">
      <alignment horizontal="left" vertical="center" wrapText="1"/>
    </xf>
    <xf numFmtId="0" fontId="34" fillId="0" borderId="125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27" fillId="0" borderId="126" xfId="0" applyFont="1" applyBorder="1" applyAlignment="1">
      <alignment horizontal="left" vertical="center" wrapText="1"/>
    </xf>
    <xf numFmtId="0" fontId="27" fillId="0" borderId="12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34" fillId="0" borderId="128" xfId="0" applyFont="1" applyBorder="1" applyAlignment="1">
      <alignment horizontal="left" vertical="center" wrapText="1"/>
    </xf>
    <xf numFmtId="0" fontId="34" fillId="0" borderId="129" xfId="0" applyFont="1" applyBorder="1" applyAlignment="1">
      <alignment horizontal="left" vertical="center" wrapText="1"/>
    </xf>
    <xf numFmtId="0" fontId="34" fillId="0" borderId="130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18" fillId="0" borderId="131" xfId="0" applyFont="1" applyBorder="1" applyAlignment="1">
      <alignment horizontal="center"/>
    </xf>
    <xf numFmtId="0" fontId="34" fillId="0" borderId="1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 horizontal="left" vertical="center" wrapText="1"/>
    </xf>
    <xf numFmtId="0" fontId="27" fillId="0" borderId="108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27" fillId="0" borderId="125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34" fillId="0" borderId="64" xfId="0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34" fillId="0" borderId="132" xfId="0" applyFont="1" applyBorder="1" applyAlignment="1">
      <alignment horizontal="left" vertical="center" wrapText="1"/>
    </xf>
    <xf numFmtId="0" fontId="34" fillId="0" borderId="93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textRotation="90" wrapText="1"/>
    </xf>
    <xf numFmtId="0" fontId="27" fillId="0" borderId="27" xfId="0" applyFont="1" applyFill="1" applyBorder="1" applyAlignment="1">
      <alignment horizontal="center" vertical="center" wrapText="1"/>
    </xf>
    <xf numFmtId="0" fontId="18" fillId="0" borderId="133" xfId="0" applyFont="1" applyBorder="1" applyAlignment="1">
      <alignment horizontal="center" vertical="center" wrapText="1"/>
    </xf>
    <xf numFmtId="0" fontId="42" fillId="30" borderId="0" xfId="0" applyFont="1" applyFill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58" xfId="0" applyFont="1" applyFill="1" applyBorder="1" applyAlignment="1">
      <alignment horizontal="center" vertical="center" textRotation="90"/>
    </xf>
    <xf numFmtId="0" fontId="37" fillId="0" borderId="49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textRotation="90" wrapText="1"/>
    </xf>
    <xf numFmtId="0" fontId="38" fillId="6" borderId="49" xfId="0" applyFont="1" applyFill="1" applyBorder="1" applyAlignment="1">
      <alignment horizontal="center" textRotation="90" wrapText="1"/>
    </xf>
    <xf numFmtId="0" fontId="37" fillId="0" borderId="49" xfId="0" applyFont="1" applyFill="1" applyBorder="1" applyAlignment="1">
      <alignment horizontal="center" textRotation="90" wrapText="1"/>
    </xf>
    <xf numFmtId="0" fontId="37" fillId="0" borderId="49" xfId="0" applyFont="1" applyFill="1" applyBorder="1" applyAlignment="1">
      <alignment horizontal="center" textRotation="90"/>
    </xf>
    <xf numFmtId="0" fontId="37" fillId="0" borderId="53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textRotation="90" wrapText="1"/>
    </xf>
    <xf numFmtId="0" fontId="37" fillId="0" borderId="49" xfId="0" applyFont="1" applyFill="1" applyBorder="1" applyAlignment="1">
      <alignment horizontal="center" vertical="center" textRotation="90" wrapText="1"/>
    </xf>
    <xf numFmtId="0" fontId="39" fillId="0" borderId="49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</cellXfs>
  <cellStyles count="5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eras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Įspėjimo tekstas" xfId="61"/>
    <cellStyle name="Išvestis" xfId="62"/>
    <cellStyle name="Linked Cell" xfId="63"/>
    <cellStyle name="Neutral" xfId="64"/>
    <cellStyle name="Note" xfId="65"/>
    <cellStyle name="Output" xfId="66"/>
    <cellStyle name="Pavadinimas" xfId="67"/>
    <cellStyle name="Percent" xfId="68"/>
    <cellStyle name="Suma" xfId="69"/>
    <cellStyle name="Title" xfId="70"/>
    <cellStyle name="Total" xfId="71"/>
    <cellStyle name="Warning Text" xfId="72"/>
  </cellStyles>
  <dxfs count="6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92D050"/>
        </patternFill>
      </fill>
    </dxf>
    <dxf>
      <font>
        <b/>
        <i val="0"/>
      </font>
    </dxf>
    <dxf>
      <font>
        <b/>
        <i val="0"/>
      </font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name val="Calibri Light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color indexed="12"/>
      </font>
      <fill>
        <patternFill patternType="solid">
          <fgColor indexed="26"/>
          <bgColor indexed="43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indexed="26"/>
          <bgColor indexed="43"/>
        </patternFill>
      </fill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</font>
      <fill>
        <patternFill patternType="none">
          <fgColor indexed="64"/>
          <bgColor indexed="65"/>
        </patternFill>
      </fill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rgb="FF92D050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fgColor indexed="26"/>
          <bgColor indexed="43"/>
        </patternFill>
      </fill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/>
        <i val="0"/>
      </font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solid">
          <fgColor indexed="26"/>
          <bgColor indexed="43"/>
        </patternFill>
      </fill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5"/>
          <bgColor indexed="29"/>
        </patternFill>
      </fill>
    </dxf>
    <dxf>
      <font>
        <b val="0"/>
        <color rgb="FF0000FF"/>
      </font>
      <fill>
        <patternFill patternType="solid">
          <fgColor rgb="FFFFFFCC"/>
          <bgColor rgb="FFFFFF99"/>
        </patternFill>
      </fill>
      <border>
        <left style="thin">
          <color rgb="FF313739"/>
        </left>
        <right style="thin">
          <color rgb="FF00FF00"/>
        </right>
        <top style="thin"/>
        <bottom style="thin">
          <color rgb="FF00FF00"/>
        </bottom>
      </border>
    </dxf>
    <dxf>
      <font>
        <color rgb="FF0000FF"/>
      </font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658"/>
  <sheetViews>
    <sheetView showGridLines="0" tabSelected="1" view="pageBreakPreview" zoomScaleSheetLayoutView="100" zoomScalePageLayoutView="0" workbookViewId="0" topLeftCell="A40">
      <selection activeCell="AB9" sqref="AB9"/>
    </sheetView>
  </sheetViews>
  <sheetFormatPr defaultColWidth="9.8515625" defaultRowHeight="12.75"/>
  <cols>
    <col min="1" max="1" width="0.5625" style="4" customWidth="1"/>
    <col min="2" max="2" width="3.00390625" style="4" customWidth="1"/>
    <col min="3" max="3" width="13.8515625" style="4" customWidth="1"/>
    <col min="4" max="4" width="11.421875" style="4" customWidth="1"/>
    <col min="5" max="5" width="17.7109375" style="4" customWidth="1"/>
    <col min="6" max="8" width="3.7109375" style="4" customWidth="1"/>
    <col min="9" max="10" width="6.7109375" style="4" customWidth="1"/>
    <col min="11" max="11" width="2.00390625" style="5" customWidth="1"/>
    <col min="12" max="12" width="19.00390625" style="6" customWidth="1"/>
    <col min="13" max="13" width="3.8515625" style="7" customWidth="1"/>
    <col min="14" max="14" width="3.28125" style="7" customWidth="1"/>
    <col min="15" max="15" width="21.00390625" style="7" customWidth="1"/>
    <col min="16" max="16" width="25.57421875" style="7" hidden="1" customWidth="1"/>
    <col min="17" max="17" width="26.140625" style="7" hidden="1" customWidth="1"/>
    <col min="18" max="18" width="18.7109375" style="8" hidden="1" customWidth="1"/>
    <col min="19" max="19" width="15.7109375" style="9" hidden="1" customWidth="1"/>
    <col min="20" max="20" width="18.00390625" style="9" hidden="1" customWidth="1"/>
    <col min="21" max="21" width="15.140625" style="9" hidden="1" customWidth="1"/>
    <col min="22" max="22" width="16.421875" style="9" hidden="1" customWidth="1"/>
    <col min="23" max="23" width="13.28125" style="9" hidden="1" customWidth="1"/>
    <col min="24" max="24" width="14.28125" style="9" hidden="1" customWidth="1"/>
    <col min="25" max="25" width="14.140625" style="9" hidden="1" customWidth="1"/>
    <col min="26" max="26" width="22.28125" style="9" hidden="1" customWidth="1"/>
    <col min="27" max="27" width="31.7109375" style="9" hidden="1" customWidth="1"/>
    <col min="28" max="28" width="58.8515625" style="9" customWidth="1"/>
    <col min="29" max="16384" width="9.8515625" style="9" customWidth="1"/>
  </cols>
  <sheetData>
    <row r="1" spans="1:18" s="12" customFormat="1" ht="22.5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10"/>
      <c r="L1" s="274"/>
      <c r="M1" s="274"/>
      <c r="N1" s="391" t="s">
        <v>164</v>
      </c>
      <c r="O1" s="391"/>
      <c r="P1" s="267"/>
      <c r="Q1" s="7"/>
      <c r="R1" s="11"/>
    </row>
    <row r="2" spans="1:18" s="12" customFormat="1" ht="5.25" customHeight="1">
      <c r="A2" s="392" t="s">
        <v>161</v>
      </c>
      <c r="B2" s="392"/>
      <c r="C2" s="392"/>
      <c r="D2" s="392"/>
      <c r="E2" s="392"/>
      <c r="F2" s="392"/>
      <c r="G2" s="392"/>
      <c r="H2" s="392"/>
      <c r="I2" s="392"/>
      <c r="J2" s="392"/>
      <c r="K2" s="13"/>
      <c r="L2" s="274"/>
      <c r="M2" s="274"/>
      <c r="N2" s="391"/>
      <c r="O2" s="391"/>
      <c r="P2" s="7"/>
      <c r="Q2" s="7"/>
      <c r="R2" s="11"/>
    </row>
    <row r="3" spans="1:18" s="12" customFormat="1" ht="21.75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13"/>
      <c r="L3" s="274"/>
      <c r="M3" s="274"/>
      <c r="N3" s="391"/>
      <c r="O3" s="391"/>
      <c r="P3" s="270"/>
      <c r="Q3" s="7"/>
      <c r="R3" s="11"/>
    </row>
    <row r="4" spans="1:18" s="12" customFormat="1" ht="5.2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13"/>
      <c r="L4" s="272"/>
      <c r="M4" s="272"/>
      <c r="N4" s="272"/>
      <c r="P4" s="270"/>
      <c r="Q4" s="7"/>
      <c r="R4" s="11"/>
    </row>
    <row r="5" spans="2:19" ht="19.5" customHeight="1">
      <c r="B5" s="14"/>
      <c r="C5" s="15" t="s">
        <v>2</v>
      </c>
      <c r="D5" s="16"/>
      <c r="E5" s="393" t="s">
        <v>3</v>
      </c>
      <c r="F5" s="393"/>
      <c r="G5" s="389"/>
      <c r="H5" s="389"/>
      <c r="I5" s="389"/>
      <c r="J5" s="389"/>
      <c r="K5" s="13"/>
      <c r="L5" s="388" t="s">
        <v>1</v>
      </c>
      <c r="M5" s="388"/>
      <c r="N5" s="275">
        <f>COUNTIF(X11:X47,"B")+COUNTIF(X11:X47,"A")+COUNTIF(X11:X47,"P")+COUNTIF(X11:X47,"A1")+COUNTIF(X11:X47,"B1")+COUNTIF(X11:X47,"B2")</f>
        <v>0</v>
      </c>
      <c r="O5" s="303" t="str">
        <f>IF((N5&gt;7),"","Dalykų turi būti ne mažiau kaip 8")</f>
        <v>Dalykų turi būti ne mažiau kaip 8</v>
      </c>
      <c r="P5" s="271"/>
      <c r="S5" s="4"/>
    </row>
    <row r="6" spans="2:19" ht="19.5" customHeight="1">
      <c r="B6" s="17"/>
      <c r="C6" s="15"/>
      <c r="D6" s="18"/>
      <c r="F6" s="15" t="s">
        <v>5</v>
      </c>
      <c r="G6" s="389"/>
      <c r="H6" s="389"/>
      <c r="I6" s="19"/>
      <c r="J6" s="19"/>
      <c r="K6" s="20"/>
      <c r="L6" s="388" t="s">
        <v>4</v>
      </c>
      <c r="M6" s="388"/>
      <c r="N6" s="275">
        <f>SUM(G11:G55)</f>
        <v>0</v>
      </c>
      <c r="O6" s="303" t="str">
        <f>IF((N6&lt;=35)*(N6&gt;=28),"","Pamokų turi būti ne mažiau kaip 28 ir ne daugiau kaip 32")</f>
        <v>Pamokų turi būti ne mažiau kaip 28 ir ne daugiau kaip 32</v>
      </c>
      <c r="P6" s="271"/>
      <c r="S6" s="4"/>
    </row>
    <row r="7" spans="2:19" ht="19.5" customHeight="1">
      <c r="B7" s="17"/>
      <c r="F7" s="15"/>
      <c r="G7" s="18"/>
      <c r="H7" s="18"/>
      <c r="I7" s="19"/>
      <c r="J7" s="19"/>
      <c r="K7" s="20"/>
      <c r="L7" s="388" t="s">
        <v>6</v>
      </c>
      <c r="M7" s="388"/>
      <c r="N7" s="275">
        <f>SUM(H11:H55)</f>
        <v>0</v>
      </c>
      <c r="O7" s="303" t="str">
        <f>IF((N7&lt;=35)*(N7&gt;=28),"","Pamokų turi būti ne mažiau kaip 28 ir ne daugiau kaip 32")</f>
        <v>Pamokų turi būti ne mažiau kaip 28 ir ne daugiau kaip 32</v>
      </c>
      <c r="S7" s="4"/>
    </row>
    <row r="8" spans="2:17" s="21" customFormat="1" ht="19.5" customHeight="1" thickBot="1">
      <c r="B8" s="22" t="s">
        <v>7</v>
      </c>
      <c r="K8" s="23"/>
      <c r="L8" s="388" t="s">
        <v>65</v>
      </c>
      <c r="M8" s="388"/>
      <c r="N8" s="275">
        <f>COUNTIF(X11:X47,"A")</f>
        <v>0</v>
      </c>
      <c r="O8" s="24"/>
      <c r="P8" s="24"/>
      <c r="Q8" s="24"/>
    </row>
    <row r="9" spans="1:27" ht="24" customHeight="1" thickBot="1">
      <c r="A9" s="93"/>
      <c r="B9" s="394" t="s">
        <v>8</v>
      </c>
      <c r="C9" s="385" t="s">
        <v>9</v>
      </c>
      <c r="D9" s="381" t="s">
        <v>10</v>
      </c>
      <c r="E9" s="381"/>
      <c r="F9" s="390" t="s">
        <v>11</v>
      </c>
      <c r="G9" s="381" t="s">
        <v>12</v>
      </c>
      <c r="H9" s="381"/>
      <c r="I9" s="384" t="s">
        <v>149</v>
      </c>
      <c r="J9" s="384" t="s">
        <v>158</v>
      </c>
      <c r="K9" s="26"/>
      <c r="L9" s="388" t="s">
        <v>66</v>
      </c>
      <c r="M9" s="388"/>
      <c r="N9" s="275">
        <f>COUNTIF(X11:X47,"B")</f>
        <v>0</v>
      </c>
      <c r="O9" s="6"/>
      <c r="P9" s="6"/>
      <c r="Q9" s="27"/>
      <c r="R9" s="386" t="s">
        <v>10</v>
      </c>
      <c r="S9" s="380" t="s">
        <v>13</v>
      </c>
      <c r="T9" s="380" t="s">
        <v>14</v>
      </c>
      <c r="U9" s="383" t="s">
        <v>15</v>
      </c>
      <c r="V9" s="383" t="s">
        <v>16</v>
      </c>
      <c r="W9" s="383" t="s">
        <v>17</v>
      </c>
      <c r="X9" s="379" t="s">
        <v>11</v>
      </c>
      <c r="Y9" s="376" t="s">
        <v>18</v>
      </c>
      <c r="Z9" s="376" t="s">
        <v>19</v>
      </c>
      <c r="AA9" s="377" t="s">
        <v>20</v>
      </c>
    </row>
    <row r="10" spans="1:27" ht="32.25" customHeight="1" thickBot="1">
      <c r="A10" s="93"/>
      <c r="B10" s="394"/>
      <c r="C10" s="385"/>
      <c r="D10" s="381"/>
      <c r="E10" s="381"/>
      <c r="F10" s="390"/>
      <c r="G10" s="25" t="s">
        <v>21</v>
      </c>
      <c r="H10" s="25" t="s">
        <v>22</v>
      </c>
      <c r="I10" s="384"/>
      <c r="J10" s="384"/>
      <c r="K10" s="29"/>
      <c r="M10" s="6"/>
      <c r="N10" s="6"/>
      <c r="O10" s="6"/>
      <c r="P10" s="6"/>
      <c r="Q10" s="27"/>
      <c r="R10" s="386"/>
      <c r="S10" s="380"/>
      <c r="T10" s="380"/>
      <c r="U10" s="383"/>
      <c r="V10" s="383"/>
      <c r="W10" s="383"/>
      <c r="X10" s="379"/>
      <c r="Y10" s="376"/>
      <c r="Z10" s="376"/>
      <c r="AA10" s="377"/>
    </row>
    <row r="11" spans="1:27" ht="16.5" customHeight="1">
      <c r="A11" s="378"/>
      <c r="B11" s="330">
        <v>1</v>
      </c>
      <c r="C11" s="352" t="s">
        <v>23</v>
      </c>
      <c r="D11" s="359" t="s">
        <v>24</v>
      </c>
      <c r="E11" s="359"/>
      <c r="F11" s="30">
        <f aca="true" t="shared" si="0" ref="F11:F29">X11</f>
      </c>
      <c r="G11" s="30">
        <f aca="true" t="shared" si="1" ref="G11:G29">Z11</f>
      </c>
      <c r="H11" s="30">
        <f aca="true" t="shared" si="2" ref="H11:H29">AA11</f>
      </c>
      <c r="I11" s="276"/>
      <c r="J11" s="277" t="s">
        <v>25</v>
      </c>
      <c r="K11" s="31"/>
      <c r="L11" s="373" t="str">
        <f>IF(SUM(W11:W12)=0,"Privaloma pasirinkti vieną dorinio ugdymo dalyką",IF(W11+W12&gt;1,"Galima riktis tik vieną dorinio ugdymo dalyką",""))</f>
        <v>Privaloma pasirinkti vieną dorinio ugdymo dalyką</v>
      </c>
      <c r="M11" s="373"/>
      <c r="N11" s="373"/>
      <c r="O11" s="373"/>
      <c r="P11" s="246"/>
      <c r="Q11" s="32"/>
      <c r="R11" s="33" t="str">
        <f aca="true" t="shared" si="3" ref="R11:R25">D11</f>
        <v>Etika</v>
      </c>
      <c r="S11" s="34" t="b">
        <v>0</v>
      </c>
      <c r="T11" s="35"/>
      <c r="U11" s="36">
        <f>IF((S11)*(V11=1),1,0)</f>
        <v>0</v>
      </c>
      <c r="V11" s="37">
        <f>IF(SUM($W$11:$W$12)=1,1,0)</f>
        <v>0</v>
      </c>
      <c r="W11" s="37">
        <f>IF(S11,1,0)</f>
        <v>0</v>
      </c>
      <c r="X11" s="36">
        <f>IF(Y11=0,"","B")</f>
      </c>
      <c r="Y11" s="37">
        <f>IF((S11=TRUE)*(V11=1),2,0)</f>
        <v>0</v>
      </c>
      <c r="Z11" s="37">
        <f>IF(Y11=0,"",2)</f>
      </c>
      <c r="AA11" s="186">
        <f>IF(Y11=0,"",0)</f>
      </c>
    </row>
    <row r="12" spans="1:27" ht="16.5" customHeight="1" thickBot="1">
      <c r="A12" s="378"/>
      <c r="B12" s="330"/>
      <c r="C12" s="352"/>
      <c r="D12" s="338" t="s">
        <v>26</v>
      </c>
      <c r="E12" s="338"/>
      <c r="F12" s="39">
        <f t="shared" si="0"/>
      </c>
      <c r="G12" s="39">
        <f t="shared" si="1"/>
      </c>
      <c r="H12" s="39">
        <f t="shared" si="2"/>
      </c>
      <c r="I12" s="278"/>
      <c r="J12" s="279" t="s">
        <v>25</v>
      </c>
      <c r="K12" s="31"/>
      <c r="L12" s="373"/>
      <c r="M12" s="373"/>
      <c r="N12" s="373"/>
      <c r="O12" s="373"/>
      <c r="P12" s="246"/>
      <c r="Q12" s="32"/>
      <c r="R12" s="40" t="str">
        <f t="shared" si="3"/>
        <v>Tikyba</v>
      </c>
      <c r="S12" s="41" t="b">
        <v>0</v>
      </c>
      <c r="T12" s="209"/>
      <c r="U12" s="43">
        <f>IF((S12)*(V12=1),1,0)</f>
        <v>0</v>
      </c>
      <c r="V12" s="44">
        <f>IF(SUM($W$11:$W$12)=1,1,0)</f>
        <v>0</v>
      </c>
      <c r="W12" s="210">
        <f>IF(S12,1,0)</f>
        <v>0</v>
      </c>
      <c r="X12" s="210">
        <f>IF(Y12=0,"","B")</f>
      </c>
      <c r="Y12" s="211">
        <f>IF((S12=TRUE)*(V12=1),2,0)</f>
        <v>0</v>
      </c>
      <c r="Z12" s="211">
        <f>IF(Y12=0,"",2)</f>
      </c>
      <c r="AA12" s="202">
        <f>IF(Y12=0,"",0)</f>
      </c>
    </row>
    <row r="13" spans="1:27" s="53" customFormat="1" ht="16.5" customHeight="1" thickBot="1">
      <c r="A13" s="378"/>
      <c r="B13" s="239">
        <v>2</v>
      </c>
      <c r="C13" s="237" t="s">
        <v>27</v>
      </c>
      <c r="D13" s="344" t="s">
        <v>28</v>
      </c>
      <c r="E13" s="344"/>
      <c r="F13" s="45">
        <f t="shared" si="0"/>
      </c>
      <c r="G13" s="45">
        <f t="shared" si="1"/>
      </c>
      <c r="H13" s="45">
        <f t="shared" si="2"/>
      </c>
      <c r="I13" s="280"/>
      <c r="J13" s="281"/>
      <c r="K13" s="46"/>
      <c r="L13" s="387" t="str">
        <f>IF(AND(NOT(S13),NOT(T13)),"Privaloma pasirinkti gimtąją kalbą",IF(OR(AND(S13,T13),AND(S13,)),"Galima rinktis tik A arba B kursą",""))</f>
        <v>Privaloma pasirinkti gimtąją kalbą</v>
      </c>
      <c r="M13" s="387"/>
      <c r="N13" s="387"/>
      <c r="O13" s="387"/>
      <c r="P13" s="268"/>
      <c r="Q13" s="47"/>
      <c r="R13" s="207" t="str">
        <f t="shared" si="3"/>
        <v>Lietuvių kalba ir literatūra</v>
      </c>
      <c r="S13" s="208" t="b">
        <v>0</v>
      </c>
      <c r="T13" s="208" t="b">
        <v>0</v>
      </c>
      <c r="U13" s="220">
        <f>IF(OR(S13,T13),1,0)</f>
        <v>0</v>
      </c>
      <c r="V13" s="220"/>
      <c r="W13" s="221"/>
      <c r="X13" s="221">
        <f>IF(Y13=0,"",IF(S13,"B","A"))</f>
      </c>
      <c r="Y13" s="221">
        <f>IF((S13=TRUE)*(T13=FALSE),10,IF((S13=FALSE)*(T13=TRUE),11,0))</f>
        <v>0</v>
      </c>
      <c r="Z13" s="221">
        <f>IF(Y13=0,"",IF(Y13=11,6,5))</f>
      </c>
      <c r="AA13" s="222">
        <f>IF(Y13=0,"",IF(Y13=10,5,5))</f>
      </c>
    </row>
    <row r="14" spans="1:27" s="53" customFormat="1" ht="16.5" customHeight="1" thickBot="1">
      <c r="A14" s="378"/>
      <c r="B14" s="239">
        <v>3</v>
      </c>
      <c r="C14" s="237" t="s">
        <v>34</v>
      </c>
      <c r="D14" s="348" t="s">
        <v>34</v>
      </c>
      <c r="E14" s="348"/>
      <c r="F14" s="45">
        <f>X14</f>
      </c>
      <c r="G14" s="45">
        <f>Z14</f>
      </c>
      <c r="H14" s="45">
        <f>AA14</f>
      </c>
      <c r="I14" s="282"/>
      <c r="J14" s="281"/>
      <c r="K14" s="46"/>
      <c r="L14" s="313" t="str">
        <f>IF(AND(NOT(S14),NOT(T14)),"Privaloma pasirinkti matematiką",IF(AND(S14,T14),"Galima rinktis tik A arba B kursą",""))</f>
        <v>Privaloma pasirinkti matematiką</v>
      </c>
      <c r="M14" s="313"/>
      <c r="N14" s="313"/>
      <c r="O14" s="313"/>
      <c r="P14" s="246"/>
      <c r="Q14" s="111"/>
      <c r="R14" s="68" t="str">
        <f t="shared" si="3"/>
        <v>Matematika</v>
      </c>
      <c r="S14" s="41" t="b">
        <v>0</v>
      </c>
      <c r="T14" s="48" t="b">
        <v>0</v>
      </c>
      <c r="U14" s="52">
        <f>IF((S14+T14)*NOT(S14*T14),1,0)</f>
        <v>0</v>
      </c>
      <c r="V14" s="69"/>
      <c r="W14" s="50"/>
      <c r="X14" s="52">
        <f>IF((S14=TRUE)*(Y14=8),"B",IF((T14=TRUE)*(Y14=10),"A",""))</f>
      </c>
      <c r="Y14" s="49">
        <f>IF((S14=TRUE)*(T14=FALSE),8,IF((S14=FALSE)*(T14=TRUE),10,0))</f>
        <v>0</v>
      </c>
      <c r="Z14" s="51">
        <f>IF(Y14=0,"",IF(Y14=8,4,6))</f>
      </c>
      <c r="AA14" s="192">
        <f>IF(Y14=0,"",IF(Y14=8,4,5))</f>
      </c>
    </row>
    <row r="15" spans="1:27" ht="16.5" customHeight="1" thickBot="1">
      <c r="A15" s="378"/>
      <c r="B15" s="239">
        <v>4</v>
      </c>
      <c r="C15" s="238" t="s">
        <v>29</v>
      </c>
      <c r="D15" s="344" t="s">
        <v>30</v>
      </c>
      <c r="E15" s="344"/>
      <c r="F15" s="54">
        <f t="shared" si="0"/>
      </c>
      <c r="G15" s="54">
        <f t="shared" si="1"/>
      </c>
      <c r="H15" s="54">
        <f t="shared" si="2"/>
      </c>
      <c r="I15" s="372"/>
      <c r="J15" s="372"/>
      <c r="K15" s="31"/>
      <c r="L15" s="373" t="str">
        <f>IF((U15)=0,"Privaloma pasirinkti užsienio kalbą",IF(U15=1,""))</f>
        <v>Privaloma pasirinkti užsienio kalbą</v>
      </c>
      <c r="M15" s="373"/>
      <c r="N15" s="373"/>
      <c r="O15" s="373"/>
      <c r="P15" s="247"/>
      <c r="Q15" s="55"/>
      <c r="R15" s="223" t="str">
        <f t="shared" si="3"/>
        <v>Užsienio kalba (anglų) (1-oji)</v>
      </c>
      <c r="S15" s="224" t="b">
        <v>0</v>
      </c>
      <c r="T15" s="224" t="b">
        <v>0</v>
      </c>
      <c r="U15" s="225">
        <f>IF((S15=TRUE),1,0)</f>
        <v>0</v>
      </c>
      <c r="V15" s="226"/>
      <c r="W15" s="225"/>
      <c r="X15" s="224">
        <f>IF((Y15=8),"B2","")</f>
      </c>
      <c r="Y15" s="225">
        <f>IF((S15),8,0)</f>
        <v>0</v>
      </c>
      <c r="Z15" s="227">
        <f>IF(Y15=0,"",IF(Y15=7,4,4))</f>
      </c>
      <c r="AA15" s="228">
        <f>IF(AND(Y15=0),"",IF(Y15=8,4,""))</f>
      </c>
    </row>
    <row r="16" spans="1:27" ht="16.5" customHeight="1">
      <c r="A16" s="378"/>
      <c r="B16" s="330">
        <v>5</v>
      </c>
      <c r="C16" s="352" t="s">
        <v>31</v>
      </c>
      <c r="D16" s="374" t="s">
        <v>32</v>
      </c>
      <c r="E16" s="358"/>
      <c r="F16" s="30">
        <f t="shared" si="0"/>
      </c>
      <c r="G16" s="30">
        <f t="shared" si="1"/>
      </c>
      <c r="H16" s="30">
        <f t="shared" si="2"/>
      </c>
      <c r="I16" s="276"/>
      <c r="J16" s="283"/>
      <c r="K16" s="46"/>
      <c r="L16" s="373" t="str">
        <f>IF(SUM(W16:W17)=0,"Privaloma pasirinkti bent vieną socialinio ugdymo dalyką",IF(OR(W16=2,W17=2),"Galima rinktis tik A arba B kursą",""))</f>
        <v>Privaloma pasirinkti bent vieną socialinio ugdymo dalyką</v>
      </c>
      <c r="M16" s="373"/>
      <c r="N16" s="373"/>
      <c r="O16" s="373"/>
      <c r="P16" s="246"/>
      <c r="Q16" s="32"/>
      <c r="R16" s="59" t="str">
        <f t="shared" si="3"/>
        <v>Istorija</v>
      </c>
      <c r="S16" s="34" t="b">
        <v>0</v>
      </c>
      <c r="T16" s="60" t="b">
        <v>0</v>
      </c>
      <c r="U16" s="36">
        <f aca="true" t="shared" si="4" ref="U16:U23">IF((S16+T16)*NOT(S16*T16),1,0)</f>
        <v>0</v>
      </c>
      <c r="V16" s="36">
        <f>IF($U$16+$U$17&gt;0,1,0)</f>
        <v>0</v>
      </c>
      <c r="W16" s="36">
        <f>IF((S16=T16)*(S16=TRUE)*(T16=TRUE),2,IF((S16=T16),0,1))</f>
        <v>0</v>
      </c>
      <c r="X16" s="36">
        <f>IF(Y16=4,"B",IF(Y16=7,"A",""))</f>
      </c>
      <c r="Y16" s="38">
        <f>IF((S16=TRUE)*(T16=FALSE)*(V16=1),4,IF((S16=FALSE)*(T16=TRUE)*(V16=1),7,0))</f>
        <v>0</v>
      </c>
      <c r="Z16" s="36">
        <f>IF(Y16=0,"",IF(Y16=4,2,4))</f>
      </c>
      <c r="AA16" s="186">
        <f aca="true" t="shared" si="5" ref="AA16:AA23">IF(Y16=0,"",IF(Y16=4,2,3))</f>
      </c>
    </row>
    <row r="17" spans="1:27" ht="16.5" customHeight="1" thickBot="1">
      <c r="A17" s="378"/>
      <c r="B17" s="330"/>
      <c r="C17" s="352"/>
      <c r="D17" s="315" t="s">
        <v>33</v>
      </c>
      <c r="E17" s="315"/>
      <c r="F17" s="61">
        <f t="shared" si="0"/>
      </c>
      <c r="G17" s="61">
        <f t="shared" si="1"/>
      </c>
      <c r="H17" s="61">
        <f t="shared" si="2"/>
      </c>
      <c r="I17" s="284"/>
      <c r="J17" s="285"/>
      <c r="K17" s="46"/>
      <c r="L17" s="373"/>
      <c r="M17" s="373"/>
      <c r="N17" s="373"/>
      <c r="O17" s="373"/>
      <c r="P17" s="246"/>
      <c r="Q17" s="32"/>
      <c r="R17" s="62" t="str">
        <f t="shared" si="3"/>
        <v>Geografija</v>
      </c>
      <c r="S17" s="63" t="b">
        <v>0</v>
      </c>
      <c r="T17" s="64" t="b">
        <v>0</v>
      </c>
      <c r="U17" s="65">
        <f t="shared" si="4"/>
        <v>0</v>
      </c>
      <c r="V17" s="66">
        <f>IF($U$16+$U$17&gt;0,1,0)</f>
        <v>0</v>
      </c>
      <c r="W17" s="66">
        <f>IF((S17=T17)*(S17=TRUE)*(T17=TRUE),2,IF((S17=T17),0,1))</f>
        <v>0</v>
      </c>
      <c r="X17" s="66">
        <f>IF(Y17=4,"B",IF(Y17=7,"A",""))</f>
      </c>
      <c r="Y17" s="67">
        <f>IF((S17=TRUE)*(T17=FALSE)*(V17=1),4,IF((S17=FALSE)*(T17=TRUE)*(V17=1),7,0))</f>
        <v>0</v>
      </c>
      <c r="Z17" s="66">
        <f>IF(Y17=0,"",IF(Y17=4,2,3))</f>
      </c>
      <c r="AA17" s="191">
        <f t="shared" si="5"/>
      </c>
    </row>
    <row r="18" spans="1:27" ht="16.5" customHeight="1">
      <c r="A18" s="378"/>
      <c r="B18" s="330">
        <v>6</v>
      </c>
      <c r="C18" s="352" t="s">
        <v>38</v>
      </c>
      <c r="D18" s="359" t="s">
        <v>39</v>
      </c>
      <c r="E18" s="359"/>
      <c r="F18" s="30">
        <f t="shared" si="0"/>
      </c>
      <c r="G18" s="30">
        <f t="shared" si="1"/>
      </c>
      <c r="H18" s="30">
        <f t="shared" si="2"/>
      </c>
      <c r="I18" s="276"/>
      <c r="J18" s="283"/>
      <c r="K18" s="46"/>
      <c r="L18" s="373" t="str">
        <f>IF(SUM(W18:W20)=0,"Privaloma pasirinkti bent vieną gamtamokslinio ugdymo dalyką",IF(OR(W18=2,W19=2,W20=2),"Galima rinktis tik A arba B kursą",""))</f>
        <v>Privaloma pasirinkti bent vieną gamtamokslinio ugdymo dalyką</v>
      </c>
      <c r="M18" s="373"/>
      <c r="N18" s="373"/>
      <c r="O18" s="373"/>
      <c r="P18" s="246"/>
      <c r="Q18" s="32"/>
      <c r="R18" s="33" t="str">
        <f t="shared" si="3"/>
        <v>Biologija</v>
      </c>
      <c r="S18" s="34" t="b">
        <v>0</v>
      </c>
      <c r="T18" s="60" t="b">
        <v>0</v>
      </c>
      <c r="U18" s="36">
        <f t="shared" si="4"/>
        <v>0</v>
      </c>
      <c r="V18" s="36">
        <f>IF(((U18=1)+(U19=1)+(U20=1))*((W18=1)+(W18=0))*((W19=1)+(W19=0))*((W19=1)+(W19=0)),1,0)</f>
        <v>0</v>
      </c>
      <c r="W18" s="36">
        <f>IF((S18=T18)*(S18=TRUE)*(T18=TRUE),2,IF((S18=T18),0,1))</f>
        <v>0</v>
      </c>
      <c r="X18" s="36">
        <f>IF(Y18=4,"B",IF(Y18=7,"A",""))</f>
      </c>
      <c r="Y18" s="36">
        <f>IF((S18=TRUE)*(T18=FALSE),4,IF((S18=FALSE)*(T18=TRUE),7,0))</f>
        <v>0</v>
      </c>
      <c r="Z18" s="36">
        <f>IF(Y18=0,"",IF(Y18=4,2,4))</f>
      </c>
      <c r="AA18" s="186">
        <f t="shared" si="5"/>
      </c>
    </row>
    <row r="19" spans="1:27" ht="16.5" customHeight="1">
      <c r="A19" s="378"/>
      <c r="B19" s="330"/>
      <c r="C19" s="352"/>
      <c r="D19" s="338" t="s">
        <v>40</v>
      </c>
      <c r="E19" s="338"/>
      <c r="F19" s="73">
        <f t="shared" si="0"/>
      </c>
      <c r="G19" s="73">
        <f t="shared" si="1"/>
      </c>
      <c r="H19" s="73">
        <f t="shared" si="2"/>
      </c>
      <c r="I19" s="286"/>
      <c r="J19" s="287"/>
      <c r="K19" s="46"/>
      <c r="L19" s="373"/>
      <c r="M19" s="373"/>
      <c r="N19" s="373"/>
      <c r="O19" s="373"/>
      <c r="P19" s="246"/>
      <c r="Q19" s="32"/>
      <c r="R19" s="74" t="str">
        <f t="shared" si="3"/>
        <v>Chemija</v>
      </c>
      <c r="S19" s="80" t="b">
        <v>0</v>
      </c>
      <c r="T19" s="81" t="b">
        <v>0</v>
      </c>
      <c r="U19" s="43">
        <f t="shared" si="4"/>
        <v>0</v>
      </c>
      <c r="V19" s="43">
        <f>IF(((U18=1)+(U19=1)+(U20=1))*((W18=1)+(W18=0))*((W19=1)+(W19=0))*((W19=1)+(W19=0)),1,0)</f>
        <v>0</v>
      </c>
      <c r="W19" s="43">
        <f>IF((S19=T19)*(S19=TRUE)*(T19=TRUE),2,IF((S19=T19),0,1))</f>
        <v>0</v>
      </c>
      <c r="X19" s="43">
        <f>IF(Y19=4,"B",IF(Y19=7,"A",""))</f>
      </c>
      <c r="Y19" s="43">
        <f>IF((S19=TRUE)*(T19=FALSE),4,IF((S19=FALSE)*(T19=TRUE),7,0))</f>
        <v>0</v>
      </c>
      <c r="Z19" s="43">
        <f>IF(Y19=0,"",IF(Y19=4,2,3))</f>
      </c>
      <c r="AA19" s="194">
        <f t="shared" si="5"/>
      </c>
    </row>
    <row r="20" spans="1:27" ht="16.5" customHeight="1" thickBot="1">
      <c r="A20" s="378"/>
      <c r="B20" s="330"/>
      <c r="C20" s="382"/>
      <c r="D20" s="375" t="s">
        <v>41</v>
      </c>
      <c r="E20" s="375"/>
      <c r="F20" s="76">
        <f t="shared" si="0"/>
      </c>
      <c r="G20" s="76">
        <f t="shared" si="1"/>
      </c>
      <c r="H20" s="76">
        <f t="shared" si="2"/>
      </c>
      <c r="I20" s="278"/>
      <c r="J20" s="172"/>
      <c r="K20" s="46"/>
      <c r="L20" s="373"/>
      <c r="M20" s="373"/>
      <c r="N20" s="373"/>
      <c r="O20" s="373"/>
      <c r="P20" s="246"/>
      <c r="Q20" s="32"/>
      <c r="R20" s="62" t="str">
        <f t="shared" si="3"/>
        <v>Fizika</v>
      </c>
      <c r="S20" s="63" t="b">
        <v>0</v>
      </c>
      <c r="T20" s="82" t="b">
        <v>0</v>
      </c>
      <c r="U20" s="78">
        <f t="shared" si="4"/>
        <v>0</v>
      </c>
      <c r="V20" s="78">
        <f>IF(((U18=1)+(U19=1)+(U20=1))*((W18=1)+(W18=0))*((W19=1)+(W19=0))*((W19=1)+(W19=0)),1,0)</f>
        <v>0</v>
      </c>
      <c r="W20" s="78">
        <f>IF((S20=T20)*(S20=TRUE)*(T20=TRUE),2,IF((S20=T20),0,1))</f>
        <v>0</v>
      </c>
      <c r="X20" s="78">
        <f>IF(Y20=4,"B",IF(Y20=8,"A",""))</f>
      </c>
      <c r="Y20" s="78">
        <f>IF((S20=TRUE)*(T20=FALSE),4,IF((S20=FALSE)*(T20=TRUE),8,0))</f>
        <v>0</v>
      </c>
      <c r="Z20" s="78">
        <f>IF(Y20=0,"",IF(Y20=4,2,4))</f>
      </c>
      <c r="AA20" s="193">
        <f>IF(Y20=0,"",IF(Y20=4,2,4))</f>
      </c>
    </row>
    <row r="21" spans="1:27" ht="16.5" customHeight="1" thickBot="1">
      <c r="A21" s="378"/>
      <c r="B21" s="331">
        <v>7</v>
      </c>
      <c r="C21" s="320" t="s">
        <v>151</v>
      </c>
      <c r="D21" s="371" t="s">
        <v>42</v>
      </c>
      <c r="E21" s="371" t="b">
        <f>FALSE</f>
        <v>0</v>
      </c>
      <c r="F21" s="177">
        <f t="shared" si="0"/>
      </c>
      <c r="G21" s="177">
        <f t="shared" si="1"/>
      </c>
      <c r="H21" s="177">
        <f t="shared" si="2"/>
      </c>
      <c r="I21" s="288"/>
      <c r="J21" s="289"/>
      <c r="K21" s="205"/>
      <c r="L21" s="370" t="str">
        <f>IF(SUM(W21:W27)=0,"Privaloma pasirinkti vieną menų ar technologijų dalyką",IF(OR(W21=2,W22=2,W23=2,W24=2),"Galima rinktis tik A arba B kursą",IF(SUM(U21:U27)&gt;1,"Galima pasirinkti tik vieną menų arba technologijų dalyką","")))</f>
        <v>Privaloma pasirinkti vieną menų ar technologijų dalyką</v>
      </c>
      <c r="M21" s="370"/>
      <c r="N21" s="370"/>
      <c r="O21" s="370"/>
      <c r="P21" s="269"/>
      <c r="Q21" s="32"/>
      <c r="R21" s="40" t="str">
        <f t="shared" si="3"/>
        <v>Dailė</v>
      </c>
      <c r="S21" s="83" t="b">
        <v>0</v>
      </c>
      <c r="T21" s="83" t="b">
        <v>0</v>
      </c>
      <c r="U21" s="72">
        <f t="shared" si="4"/>
        <v>0</v>
      </c>
      <c r="V21" s="179">
        <f aca="true" t="shared" si="6" ref="V21:V27">IF((SUM($U$21:$U$27)=1),1,0)</f>
        <v>0</v>
      </c>
      <c r="W21" s="72">
        <f aca="true" t="shared" si="7" ref="W21:W27">IF((S21=T21)*(S21),2,IF((S21=T21),0,1))</f>
        <v>0</v>
      </c>
      <c r="X21" s="72">
        <f>IF(Y21=0,"",IF(S21,"B","A"))</f>
      </c>
      <c r="Y21" s="72">
        <f>IF(((S21&lt;&gt;T21)=TRUE)*(V21=1),IF((S21=TRUE)*(T21=FALSE),4,IF((S21=FALSE)*(T21=TRUE),6,0)),0)</f>
        <v>0</v>
      </c>
      <c r="Z21" s="72">
        <f>IF(Y21=0,"",IF(Y21=4,2,3))</f>
      </c>
      <c r="AA21" s="187">
        <f t="shared" si="5"/>
      </c>
    </row>
    <row r="22" spans="1:27" ht="16.5" customHeight="1" thickBot="1">
      <c r="A22" s="378"/>
      <c r="B22" s="332"/>
      <c r="C22" s="321"/>
      <c r="D22" s="315" t="s">
        <v>44</v>
      </c>
      <c r="E22" s="315"/>
      <c r="F22" s="39">
        <f t="shared" si="0"/>
      </c>
      <c r="G22" s="39">
        <f t="shared" si="1"/>
      </c>
      <c r="H22" s="39">
        <f t="shared" si="2"/>
      </c>
      <c r="I22" s="290"/>
      <c r="J22" s="291"/>
      <c r="K22" s="205"/>
      <c r="L22" s="370"/>
      <c r="M22" s="370"/>
      <c r="N22" s="370"/>
      <c r="O22" s="370"/>
      <c r="P22" s="269"/>
      <c r="Q22" s="32"/>
      <c r="R22" s="74" t="str">
        <f t="shared" si="3"/>
        <v>Muzika</v>
      </c>
      <c r="S22" s="83" t="b">
        <v>0</v>
      </c>
      <c r="T22" s="83" t="b">
        <v>0</v>
      </c>
      <c r="U22" s="72">
        <f t="shared" si="4"/>
        <v>0</v>
      </c>
      <c r="V22" s="179">
        <f t="shared" si="6"/>
        <v>0</v>
      </c>
      <c r="W22" s="84">
        <f t="shared" si="7"/>
        <v>0</v>
      </c>
      <c r="X22" s="72">
        <f>IF(Y22=0,"",IF(S22,"B","A"))</f>
      </c>
      <c r="Y22" s="72">
        <f>IF(((S22&lt;&gt;T22)=TRUE)*(V22=1),IF((S22=TRUE)*(T22=FALSE),4,IF((S22=FALSE)*(T22=TRUE),6,0)),0)</f>
        <v>0</v>
      </c>
      <c r="Z22" s="72">
        <f>IF(Y22=0,"",IF(Y22=4,2,3))</f>
      </c>
      <c r="AA22" s="195">
        <f t="shared" si="5"/>
      </c>
    </row>
    <row r="23" spans="1:27" ht="16.5" customHeight="1" thickBot="1">
      <c r="A23" s="378"/>
      <c r="B23" s="332"/>
      <c r="C23" s="321"/>
      <c r="D23" s="338" t="s">
        <v>45</v>
      </c>
      <c r="E23" s="338"/>
      <c r="F23" s="73">
        <f t="shared" si="0"/>
      </c>
      <c r="G23" s="73">
        <f t="shared" si="1"/>
      </c>
      <c r="H23" s="73">
        <f t="shared" si="2"/>
      </c>
      <c r="I23" s="286"/>
      <c r="J23" s="292" t="s">
        <v>25</v>
      </c>
      <c r="K23" s="205"/>
      <c r="L23" s="370"/>
      <c r="M23" s="370"/>
      <c r="N23" s="370"/>
      <c r="O23" s="370"/>
      <c r="P23" s="269"/>
      <c r="Q23" s="32"/>
      <c r="R23" s="74" t="str">
        <f t="shared" si="3"/>
        <v>Šokis</v>
      </c>
      <c r="S23" s="83" t="b">
        <v>0</v>
      </c>
      <c r="T23" s="83" t="b">
        <v>0</v>
      </c>
      <c r="U23" s="72">
        <f t="shared" si="4"/>
        <v>0</v>
      </c>
      <c r="V23" s="179">
        <f t="shared" si="6"/>
        <v>0</v>
      </c>
      <c r="W23" s="72">
        <f>IF((S23=T23)*(S23),2,IF((S23=T23),0,1))</f>
        <v>0</v>
      </c>
      <c r="X23" s="72">
        <f>IF(Y23=0,"",IF(S23,"B","A"))</f>
      </c>
      <c r="Y23" s="72">
        <f>IF(((S23&lt;&gt;T23)=TRUE)*(V23=1),IF((S23=TRUE)*(T23=FALSE),4,IF((S23=FALSE)*(T23=TRUE),6,0)),0)</f>
        <v>0</v>
      </c>
      <c r="Z23" s="72">
        <f>IF(Y23=0,"",IF(Y23=4,2,3))</f>
      </c>
      <c r="AA23" s="195">
        <f t="shared" si="5"/>
      </c>
    </row>
    <row r="24" spans="1:27" ht="16.5" customHeight="1" thickBot="1">
      <c r="A24" s="378"/>
      <c r="B24" s="332"/>
      <c r="C24" s="321"/>
      <c r="D24" s="318" t="s">
        <v>46</v>
      </c>
      <c r="E24" s="318"/>
      <c r="F24" s="241">
        <f t="shared" si="0"/>
      </c>
      <c r="G24" s="241">
        <f t="shared" si="1"/>
      </c>
      <c r="H24" s="241">
        <f t="shared" si="2"/>
      </c>
      <c r="I24" s="293"/>
      <c r="J24" s="292" t="s">
        <v>25</v>
      </c>
      <c r="K24" s="205"/>
      <c r="L24" s="370"/>
      <c r="M24" s="370"/>
      <c r="N24" s="370"/>
      <c r="O24" s="370"/>
      <c r="P24" s="269"/>
      <c r="Q24" s="32"/>
      <c r="R24" s="169" t="str">
        <f t="shared" si="3"/>
        <v>Teatras</v>
      </c>
      <c r="S24" s="178" t="b">
        <v>0</v>
      </c>
      <c r="T24" s="170"/>
      <c r="U24" s="171">
        <f>IF(S24,1,0)</f>
        <v>0</v>
      </c>
      <c r="V24" s="179">
        <f t="shared" si="6"/>
        <v>0</v>
      </c>
      <c r="W24" s="72">
        <f t="shared" si="7"/>
        <v>0</v>
      </c>
      <c r="X24" s="171">
        <f>IF(Y24=4,"B","")</f>
      </c>
      <c r="Y24" s="171">
        <f>IF((S24)*(V24=1),4,0)</f>
        <v>0</v>
      </c>
      <c r="Z24" s="171">
        <f>IF(Y24=4,2,"")</f>
      </c>
      <c r="AA24" s="184">
        <f>IF(Y24=4,2,"")</f>
      </c>
    </row>
    <row r="25" spans="1:27" ht="16.5" customHeight="1" thickBot="1">
      <c r="A25" s="378"/>
      <c r="B25" s="332"/>
      <c r="C25" s="321"/>
      <c r="D25" s="315" t="s">
        <v>47</v>
      </c>
      <c r="E25" s="315"/>
      <c r="F25" s="242">
        <f t="shared" si="0"/>
      </c>
      <c r="G25" s="242">
        <f t="shared" si="1"/>
      </c>
      <c r="H25" s="242">
        <f t="shared" si="2"/>
      </c>
      <c r="I25" s="294"/>
      <c r="J25" s="295" t="s">
        <v>25</v>
      </c>
      <c r="K25" s="206"/>
      <c r="L25" s="370"/>
      <c r="M25" s="370"/>
      <c r="N25" s="370"/>
      <c r="O25" s="370"/>
      <c r="P25" s="269"/>
      <c r="Q25" s="32"/>
      <c r="R25" s="40" t="str">
        <f t="shared" si="3"/>
        <v>Turizmas ir mityba</v>
      </c>
      <c r="S25" s="100" t="b">
        <v>0</v>
      </c>
      <c r="T25" s="100"/>
      <c r="U25" s="72">
        <f>IF(S25,1,0)</f>
        <v>0</v>
      </c>
      <c r="V25" s="179">
        <f t="shared" si="6"/>
        <v>0</v>
      </c>
      <c r="W25" s="72">
        <f t="shared" si="7"/>
        <v>0</v>
      </c>
      <c r="X25" s="72">
        <f>IF(Y25=4,"B","")</f>
      </c>
      <c r="Y25" s="72">
        <f>IF((S25)*(V25=1),4,0)</f>
        <v>0</v>
      </c>
      <c r="Z25" s="72">
        <f>IF(Y25=4,2,"")</f>
      </c>
      <c r="AA25" s="195">
        <f>IF(Y25=4,2,"")</f>
      </c>
    </row>
    <row r="26" spans="1:27" ht="16.5" customHeight="1" thickBot="1">
      <c r="A26" s="378"/>
      <c r="B26" s="332"/>
      <c r="C26" s="321"/>
      <c r="D26" s="323" t="s">
        <v>150</v>
      </c>
      <c r="E26" s="324"/>
      <c r="F26" s="229">
        <f t="shared" si="0"/>
      </c>
      <c r="G26" s="229">
        <f t="shared" si="1"/>
      </c>
      <c r="H26" s="229">
        <f t="shared" si="2"/>
      </c>
      <c r="I26" s="296"/>
      <c r="J26" s="295" t="s">
        <v>25</v>
      </c>
      <c r="K26" s="206"/>
      <c r="L26" s="370"/>
      <c r="M26" s="370"/>
      <c r="N26" s="370"/>
      <c r="O26" s="370"/>
      <c r="P26" s="269"/>
      <c r="Q26" s="32"/>
      <c r="R26" s="40" t="s">
        <v>150</v>
      </c>
      <c r="S26" s="100" t="b">
        <v>0</v>
      </c>
      <c r="T26" s="100"/>
      <c r="U26" s="72">
        <f>IF(S26,1,0)</f>
        <v>0</v>
      </c>
      <c r="V26" s="179">
        <f t="shared" si="6"/>
        <v>0</v>
      </c>
      <c r="W26" s="72">
        <f t="shared" si="7"/>
        <v>0</v>
      </c>
      <c r="X26" s="72">
        <f>IF(Y26=4,"B","")</f>
      </c>
      <c r="Y26" s="72">
        <f>IF((S26)*(V26=1),4,0)</f>
        <v>0</v>
      </c>
      <c r="Z26" s="72">
        <f>IF(Y26=4,2,"")</f>
      </c>
      <c r="AA26" s="195">
        <f>IF(Y26=4,2,"")</f>
      </c>
    </row>
    <row r="27" spans="1:27" ht="16.5" customHeight="1" thickBot="1">
      <c r="A27" s="378"/>
      <c r="B27" s="333"/>
      <c r="C27" s="322"/>
      <c r="D27" s="338" t="s">
        <v>48</v>
      </c>
      <c r="E27" s="338"/>
      <c r="F27" s="73">
        <f t="shared" si="0"/>
      </c>
      <c r="G27" s="73">
        <f t="shared" si="1"/>
      </c>
      <c r="H27" s="73">
        <f t="shared" si="2"/>
      </c>
      <c r="I27" s="297"/>
      <c r="J27" s="279" t="s">
        <v>25</v>
      </c>
      <c r="K27" s="206"/>
      <c r="L27" s="370"/>
      <c r="M27" s="370"/>
      <c r="N27" s="370"/>
      <c r="O27" s="370"/>
      <c r="P27" s="269"/>
      <c r="Q27" s="32"/>
      <c r="R27" s="74" t="str">
        <f>D27</f>
        <v>Statyba ir medžio apdirbimas</v>
      </c>
      <c r="S27" s="85" t="b">
        <v>0</v>
      </c>
      <c r="T27" s="85"/>
      <c r="U27" s="3">
        <f>IF(S27,1,0)</f>
        <v>0</v>
      </c>
      <c r="V27" s="179">
        <f t="shared" si="6"/>
        <v>0</v>
      </c>
      <c r="W27" s="72">
        <f t="shared" si="7"/>
        <v>0</v>
      </c>
      <c r="X27" s="171">
        <f>IF(Y27=4,"B","")</f>
      </c>
      <c r="Y27" s="171">
        <f>IF((S27)*(V27=1),4,0)</f>
        <v>0</v>
      </c>
      <c r="Z27" s="171">
        <f>IF(Y27=4,2,"")</f>
      </c>
      <c r="AA27" s="184">
        <f>IF(Y27=4,2,"")</f>
      </c>
    </row>
    <row r="28" spans="1:27" ht="16.5" customHeight="1" thickBot="1">
      <c r="A28" s="378"/>
      <c r="B28" s="330">
        <v>8</v>
      </c>
      <c r="C28" s="353" t="s">
        <v>49</v>
      </c>
      <c r="D28" s="354" t="s">
        <v>50</v>
      </c>
      <c r="E28" s="354"/>
      <c r="F28" s="180">
        <f t="shared" si="0"/>
      </c>
      <c r="G28" s="180">
        <f t="shared" si="1"/>
      </c>
      <c r="H28" s="180">
        <f t="shared" si="2"/>
      </c>
      <c r="I28" s="298"/>
      <c r="J28" s="299"/>
      <c r="K28" s="31"/>
      <c r="L28" s="308" t="str">
        <f>IF((W28=2),"Galima rinktis tik A arba B kursą",IF(SUM(U28:U29)=0,"Privaloma pasirinkti vieną kūno kultūros dalyką",IF(SUM(U28:U29)&gt;1,"Galima pasirinkti tik vieną kūno kultūros dalyką","")))</f>
        <v>Privaloma pasirinkti vieną kūno kultūros dalyką</v>
      </c>
      <c r="M28" s="308"/>
      <c r="N28" s="308"/>
      <c r="O28" s="308"/>
      <c r="P28" s="269"/>
      <c r="Q28" s="32"/>
      <c r="R28" s="33" t="str">
        <f>D28</f>
        <v>Bendroji kūno kultūra</v>
      </c>
      <c r="S28" s="87" t="b">
        <v>0</v>
      </c>
      <c r="T28" s="87" t="b">
        <v>0</v>
      </c>
      <c r="U28" s="88">
        <f>IF((S28+T28)*NOT(S28*T28),1,0)</f>
        <v>0</v>
      </c>
      <c r="V28" s="88">
        <f>IF((SUM($U$28:$U$29)=1),1,0)</f>
        <v>0</v>
      </c>
      <c r="W28" s="88">
        <f>IF((S28=T28)*(S28),2,IF((S28=T28),0,1))</f>
        <v>0</v>
      </c>
      <c r="X28" s="182">
        <f>IF(Y28=0,"",IF(S28,"B","A"))</f>
      </c>
      <c r="Y28" s="182">
        <f>IF(((S28&lt;&gt;T28)=TRUE)*(V28=1),IF((S28=TRUE)*(T28=FALSE),4,IF((S28=FALSE)*(T28=TRUE),6,0)),0)</f>
        <v>0</v>
      </c>
      <c r="Z28" s="182">
        <f>IF(Y28=0,"",IF(Y28=4,2,4))</f>
      </c>
      <c r="AA28" s="183">
        <f>IF(Y28=0,"",IF(Y28=4,2,4))</f>
      </c>
    </row>
    <row r="29" spans="1:27" ht="16.5" customHeight="1" thickBot="1">
      <c r="A29" s="378"/>
      <c r="B29" s="330"/>
      <c r="C29" s="353"/>
      <c r="D29" s="309" t="s">
        <v>146</v>
      </c>
      <c r="E29" s="309"/>
      <c r="F29" s="61">
        <f t="shared" si="0"/>
      </c>
      <c r="G29" s="61">
        <f t="shared" si="1"/>
      </c>
      <c r="H29" s="61">
        <f t="shared" si="2"/>
      </c>
      <c r="I29" s="300"/>
      <c r="J29" s="301"/>
      <c r="K29" s="31"/>
      <c r="L29" s="308"/>
      <c r="M29" s="308"/>
      <c r="N29" s="308"/>
      <c r="O29" s="308"/>
      <c r="P29" s="269"/>
      <c r="Q29" s="32"/>
      <c r="R29" s="169" t="str">
        <f>D29</f>
        <v>Pasirinkta sporto šaka</v>
      </c>
      <c r="S29" s="170" t="b">
        <v>0</v>
      </c>
      <c r="T29" s="170" t="b">
        <v>0</v>
      </c>
      <c r="U29" s="88">
        <f>IF((S29+T29)*NOT(S29*T29),1,0)</f>
        <v>0</v>
      </c>
      <c r="V29" s="88">
        <f>IF((SUM($U$28:$U$29)=1),1,0)</f>
        <v>0</v>
      </c>
      <c r="W29" s="88">
        <f>IF((S29=T29)*(S29),2,IF((S29=T29),0,1))</f>
        <v>0</v>
      </c>
      <c r="X29" s="182">
        <f>IF(Y29=0,"",IF(S29,"B","A"))</f>
      </c>
      <c r="Y29" s="182">
        <f>IF(((S29&lt;&gt;T29)=TRUE)*(V29=1),IF((S29=TRUE)*(T29=FALSE),4,IF((S29=FALSE)*(T29=TRUE),6,0)),0)</f>
        <v>0</v>
      </c>
      <c r="Z29" s="182">
        <f>IF(Y29=0,"",IF(Y29=4,2,3))</f>
      </c>
      <c r="AA29" s="183">
        <f>IF(Y29=0,"",IF(Y29=4,2,3))</f>
      </c>
    </row>
    <row r="30" spans="1:27" s="93" customFormat="1" ht="6" customHeight="1">
      <c r="A30" s="236"/>
      <c r="B30" s="31"/>
      <c r="C30" s="29"/>
      <c r="D30" s="90"/>
      <c r="E30" s="90"/>
      <c r="F30" s="29"/>
      <c r="G30" s="29"/>
      <c r="H30" s="29"/>
      <c r="I30" s="91"/>
      <c r="J30" s="31"/>
      <c r="K30" s="31"/>
      <c r="L30" s="6"/>
      <c r="M30" s="6"/>
      <c r="N30" s="6"/>
      <c r="O30" s="6"/>
      <c r="P30" s="6"/>
      <c r="Q30" s="6"/>
      <c r="R30" s="92"/>
      <c r="U30" s="94"/>
      <c r="V30" s="94"/>
      <c r="W30" s="94"/>
      <c r="X30" s="94"/>
      <c r="Y30" s="94"/>
      <c r="Z30" s="94"/>
      <c r="AA30" s="181"/>
    </row>
    <row r="31" spans="1:27" s="93" customFormat="1" ht="18" customHeight="1" thickBot="1">
      <c r="A31" s="236"/>
      <c r="B31" s="355" t="s">
        <v>51</v>
      </c>
      <c r="C31" s="329"/>
      <c r="D31" s="329"/>
      <c r="E31" s="329"/>
      <c r="F31" s="329"/>
      <c r="G31" s="329"/>
      <c r="H31" s="329"/>
      <c r="I31" s="329"/>
      <c r="J31" s="329"/>
      <c r="K31" s="31"/>
      <c r="L31" s="6"/>
      <c r="M31" s="6"/>
      <c r="N31" s="6"/>
      <c r="O31" s="6"/>
      <c r="P31" s="6"/>
      <c r="Q31" s="6"/>
      <c r="R31" s="92"/>
      <c r="U31" s="94"/>
      <c r="V31" s="94"/>
      <c r="W31" s="185"/>
      <c r="X31" s="185"/>
      <c r="Y31" s="185"/>
      <c r="Z31" s="94"/>
      <c r="AA31" s="181"/>
    </row>
    <row r="32" spans="1:27" ht="15.75" customHeight="1" thickBot="1">
      <c r="A32" s="5"/>
      <c r="B32" s="330">
        <v>9</v>
      </c>
      <c r="C32" s="310" t="s">
        <v>35</v>
      </c>
      <c r="D32" s="360" t="s">
        <v>36</v>
      </c>
      <c r="E32" s="360"/>
      <c r="F32" s="30">
        <f>X32</f>
      </c>
      <c r="G32" s="30">
        <f aca="true" t="shared" si="8" ref="G32:H34">Z32</f>
      </c>
      <c r="H32" s="30">
        <f t="shared" si="8"/>
      </c>
      <c r="I32" s="70" t="s">
        <v>25</v>
      </c>
      <c r="J32" s="58"/>
      <c r="K32" s="153"/>
      <c r="L32" s="308">
        <f>IF(SUM(U32:U33:U34)&gt;1,"Galima pasirinkti tik vieną informacinių technologijų dalyką","")</f>
      </c>
      <c r="M32" s="308"/>
      <c r="N32" s="308"/>
      <c r="O32" s="308"/>
      <c r="P32" s="269"/>
      <c r="Q32" s="27"/>
      <c r="R32" s="33" t="str">
        <f>D32</f>
        <v>Elektroninė leidyba</v>
      </c>
      <c r="S32" s="71"/>
      <c r="T32" s="244" t="b">
        <v>0</v>
      </c>
      <c r="U32" s="200">
        <f>IF(T32,1,0)</f>
        <v>0</v>
      </c>
      <c r="V32" s="218">
        <f>IF(SUM(U32:U33)=1,1,0)</f>
        <v>0</v>
      </c>
      <c r="W32" s="305">
        <f>IF(U32=1,(IF(SUM(U32:U33)&gt;0,2,1)),(IF(SUM(U32:U33)=1,1,IF(SUM(U32:U33)=0,0,3))))</f>
        <v>0</v>
      </c>
      <c r="X32" s="201">
        <f>IF(Y32=2,"B",IF(Y32=4,"A",""))</f>
      </c>
      <c r="Y32" s="204">
        <f>IF(V32,IF(AND(S32=FALSE,T32),4,0),0)</f>
        <v>0</v>
      </c>
      <c r="Z32" s="36">
        <f>IF(Y32=0,"",IF(Y32=2,1,2))</f>
      </c>
      <c r="AA32" s="186">
        <f>IF(Y32=0,"",IF(Y32=4,2,1))</f>
      </c>
    </row>
    <row r="33" spans="1:27" ht="16.5" customHeight="1" thickBot="1">
      <c r="A33" s="5"/>
      <c r="B33" s="330"/>
      <c r="C33" s="311"/>
      <c r="D33" s="307" t="s">
        <v>37</v>
      </c>
      <c r="E33" s="307"/>
      <c r="F33" s="233">
        <f>X33</f>
      </c>
      <c r="G33" s="233">
        <f t="shared" si="8"/>
      </c>
      <c r="H33" s="233">
        <f t="shared" si="8"/>
      </c>
      <c r="I33" s="234" t="s">
        <v>25</v>
      </c>
      <c r="J33" s="235"/>
      <c r="K33" s="153"/>
      <c r="L33" s="308"/>
      <c r="M33" s="308"/>
      <c r="N33" s="308"/>
      <c r="O33" s="308"/>
      <c r="P33" s="269"/>
      <c r="Q33" s="27"/>
      <c r="R33" s="59" t="str">
        <f>D33</f>
        <v>Programavimas</v>
      </c>
      <c r="S33" s="212"/>
      <c r="T33" s="245" t="b">
        <v>0</v>
      </c>
      <c r="U33" s="200">
        <f>IF(T33,1,0)</f>
        <v>0</v>
      </c>
      <c r="V33" s="218">
        <v>1</v>
      </c>
      <c r="W33" s="306"/>
      <c r="X33" s="213">
        <f>IF(Y33=2,"B",IF(Y33=4,"A",""))</f>
      </c>
      <c r="Y33" s="214">
        <f>IF(V32,IF(AND(S33=FALSE,T33),4,0),0)</f>
        <v>0</v>
      </c>
      <c r="Z33" s="215">
        <f>IF(Y33=0,"",IF(Y33=2,1,2))</f>
      </c>
      <c r="AA33" s="216">
        <f>IF(Y33=0,"",IF(Y33=4,2,1))</f>
      </c>
    </row>
    <row r="34" spans="1:27" ht="16.5" customHeight="1" thickBot="1">
      <c r="A34" s="5"/>
      <c r="B34" s="330"/>
      <c r="C34" s="312"/>
      <c r="D34" s="356" t="s">
        <v>35</v>
      </c>
      <c r="E34" s="357"/>
      <c r="F34" s="231">
        <f>X34</f>
      </c>
      <c r="G34" s="231">
        <f t="shared" si="8"/>
      </c>
      <c r="H34" s="231">
        <f t="shared" si="8"/>
      </c>
      <c r="I34" s="256"/>
      <c r="J34" s="232" t="s">
        <v>148</v>
      </c>
      <c r="K34" s="46"/>
      <c r="L34" s="308">
        <f>IF(SUM(U34:U35)&gt;1,"Galima pasirinkti tik vieną informacinių technologijų dalyką","")</f>
      </c>
      <c r="M34" s="308"/>
      <c r="N34" s="308"/>
      <c r="O34" s="308"/>
      <c r="P34" s="269"/>
      <c r="Q34" s="6"/>
      <c r="R34" s="217" t="str">
        <f>D34</f>
        <v>Informacinės technologijos</v>
      </c>
      <c r="S34" s="218" t="b">
        <v>0</v>
      </c>
      <c r="T34" s="219"/>
      <c r="U34" s="243">
        <f>IF((S34+T34)*NOT(S34*T34),1,0)</f>
        <v>0</v>
      </c>
      <c r="V34" s="243">
        <v>1</v>
      </c>
      <c r="W34" s="200">
        <f>IF(S34,1,0)</f>
        <v>0</v>
      </c>
      <c r="X34" s="56">
        <f>IF((Y34=2),"B","")</f>
      </c>
      <c r="Y34" s="28">
        <f>IF((S34),2,0)</f>
        <v>0</v>
      </c>
      <c r="Z34" s="57">
        <f>IF(Y34=0,"",IF(Y34=2,1,1))</f>
      </c>
      <c r="AA34" s="190">
        <f>IF(AND(Y34=0),"",IF(Y34=2,1,""))</f>
      </c>
    </row>
    <row r="35" spans="1:27" s="93" customFormat="1" ht="6.75" customHeight="1">
      <c r="A35" s="5"/>
      <c r="B35" s="31"/>
      <c r="C35" s="29"/>
      <c r="D35" s="90"/>
      <c r="E35" s="90"/>
      <c r="F35" s="29"/>
      <c r="G35" s="29"/>
      <c r="H35" s="29"/>
      <c r="I35" s="91"/>
      <c r="J35" s="31"/>
      <c r="K35" s="31"/>
      <c r="L35" s="308"/>
      <c r="M35" s="308"/>
      <c r="N35" s="308"/>
      <c r="O35" s="308"/>
      <c r="P35" s="269"/>
      <c r="Q35" s="6"/>
      <c r="R35" s="92"/>
      <c r="U35" s="94"/>
      <c r="V35" s="94"/>
      <c r="W35" s="94"/>
      <c r="X35" s="94"/>
      <c r="Y35" s="94"/>
      <c r="Z35" s="94"/>
      <c r="AA35" s="181"/>
    </row>
    <row r="36" spans="2:27" ht="18" customHeight="1" thickBot="1">
      <c r="B36" s="328" t="s">
        <v>51</v>
      </c>
      <c r="C36" s="328"/>
      <c r="D36" s="329"/>
      <c r="E36" s="329"/>
      <c r="F36" s="329"/>
      <c r="G36" s="329"/>
      <c r="H36" s="329"/>
      <c r="I36" s="329"/>
      <c r="J36" s="329"/>
      <c r="K36" s="95"/>
      <c r="M36" s="6"/>
      <c r="N36" s="6"/>
      <c r="O36" s="6"/>
      <c r="P36" s="6"/>
      <c r="Q36" s="6"/>
      <c r="R36" s="96"/>
      <c r="S36" s="97"/>
      <c r="T36" s="97"/>
      <c r="U36" s="98"/>
      <c r="V36" s="98"/>
      <c r="W36" s="98"/>
      <c r="X36" s="98"/>
      <c r="Y36" s="97"/>
      <c r="Z36" s="97"/>
      <c r="AA36" s="196"/>
    </row>
    <row r="37" spans="2:27" ht="15.75" customHeight="1">
      <c r="B37" s="330">
        <v>10</v>
      </c>
      <c r="C37" s="325" t="s">
        <v>52</v>
      </c>
      <c r="D37" s="358" t="s">
        <v>53</v>
      </c>
      <c r="E37" s="359"/>
      <c r="F37" s="30">
        <f>X37</f>
      </c>
      <c r="G37" s="30">
        <f aca="true" t="shared" si="9" ref="G37:H41">Z37</f>
      </c>
      <c r="H37" s="30">
        <f t="shared" si="9"/>
      </c>
      <c r="I37" s="349"/>
      <c r="J37" s="349"/>
      <c r="K37" s="31"/>
      <c r="L37" s="313">
        <f>IF(SUM(U37:U39)&gt;1,"Galima pasirinkti tik vieną antrąją užsienio kalbą.","")</f>
      </c>
      <c r="M37" s="313"/>
      <c r="N37" s="313"/>
      <c r="O37" s="313"/>
      <c r="P37" s="246"/>
      <c r="Q37" s="55"/>
      <c r="R37" s="99" t="str">
        <f>D37</f>
        <v>Užsienio kalba (prancūzų) (2-oji)</v>
      </c>
      <c r="S37" s="100" t="b">
        <v>0</v>
      </c>
      <c r="T37" s="100"/>
      <c r="U37" s="101">
        <f>IF(S37,1,0)</f>
        <v>0</v>
      </c>
      <c r="V37" s="72">
        <f>IF((SUM($U$37:$U$41)=1),1,0)</f>
        <v>0</v>
      </c>
      <c r="W37" s="102"/>
      <c r="X37" s="72">
        <f>IF(Y37=6,"B1","")</f>
      </c>
      <c r="Y37" s="72">
        <f>IF((S37)*(V37=1),6,0)</f>
        <v>0</v>
      </c>
      <c r="Z37" s="72">
        <f>IF(Y37=6,3,"")</f>
      </c>
      <c r="AA37" s="187">
        <f>IF(Y37=6,3,"")</f>
      </c>
    </row>
    <row r="38" spans="2:27" ht="15.75" customHeight="1">
      <c r="B38" s="330"/>
      <c r="C38" s="325"/>
      <c r="D38" s="314" t="s">
        <v>54</v>
      </c>
      <c r="E38" s="315"/>
      <c r="F38" s="39">
        <f>X38</f>
      </c>
      <c r="G38" s="39">
        <f t="shared" si="9"/>
      </c>
      <c r="H38" s="39">
        <f t="shared" si="9"/>
      </c>
      <c r="I38" s="316"/>
      <c r="J38" s="316"/>
      <c r="K38" s="31"/>
      <c r="L38" s="313"/>
      <c r="M38" s="313"/>
      <c r="N38" s="313"/>
      <c r="O38" s="313"/>
      <c r="P38" s="246"/>
      <c r="Q38" s="55"/>
      <c r="R38" s="103" t="str">
        <f>D38</f>
        <v>Užsienio kalba (rusų) (2-oji)</v>
      </c>
      <c r="S38" s="75" t="b">
        <v>0</v>
      </c>
      <c r="T38" s="75"/>
      <c r="U38" s="104">
        <f>IF(S38,1,0)</f>
        <v>0</v>
      </c>
      <c r="V38" s="72">
        <f>IF((SUM($U$37:$U$41)=1),1,0)</f>
        <v>0</v>
      </c>
      <c r="W38" s="84"/>
      <c r="X38" s="84">
        <f>IF(Y38=6,"B1","")</f>
      </c>
      <c r="Y38" s="84">
        <f>IF((S38)*(V38=1),6,0)</f>
        <v>0</v>
      </c>
      <c r="Z38" s="84">
        <f>IF(Y38=6,3,"")</f>
      </c>
      <c r="AA38" s="188">
        <f>IF(Y38=6,3,"")</f>
      </c>
    </row>
    <row r="39" spans="2:27" ht="16.5" customHeight="1" thickBot="1">
      <c r="B39" s="330"/>
      <c r="C39" s="325"/>
      <c r="D39" s="317" t="s">
        <v>55</v>
      </c>
      <c r="E39" s="318"/>
      <c r="F39" s="241">
        <f>X39</f>
      </c>
      <c r="G39" s="241">
        <f t="shared" si="9"/>
      </c>
      <c r="H39" s="241">
        <f t="shared" si="9"/>
      </c>
      <c r="I39" s="319"/>
      <c r="J39" s="319"/>
      <c r="K39" s="31"/>
      <c r="L39" s="313"/>
      <c r="M39" s="313"/>
      <c r="N39" s="313"/>
      <c r="O39" s="313"/>
      <c r="P39" s="246"/>
      <c r="Q39" s="55"/>
      <c r="R39" s="62" t="str">
        <f>D39</f>
        <v>Užsienio kalba (vokiečių) (2-oji)</v>
      </c>
      <c r="S39" s="89" t="b">
        <v>0</v>
      </c>
      <c r="T39" s="89"/>
      <c r="U39" s="105">
        <f>IF(S39,1,0)</f>
        <v>0</v>
      </c>
      <c r="V39" s="72">
        <f>IF((SUM($U$37:$U$41)=1),1,0)</f>
        <v>0</v>
      </c>
      <c r="W39" s="77"/>
      <c r="X39" s="77">
        <f>IF(Y39=6,"B1","")</f>
      </c>
      <c r="Y39" s="77">
        <f>IF((S39)*(V39=1),6,0)</f>
        <v>0</v>
      </c>
      <c r="Z39" s="77">
        <f>IF(Y39=6,3,"")</f>
      </c>
      <c r="AA39" s="189">
        <f>IF(Y39=6,3,"")</f>
      </c>
    </row>
    <row r="40" spans="2:27" ht="16.5" customHeight="1" thickBot="1">
      <c r="B40" s="330"/>
      <c r="C40" s="325"/>
      <c r="D40" s="317" t="s">
        <v>154</v>
      </c>
      <c r="E40" s="318"/>
      <c r="F40" s="241">
        <f>X40</f>
      </c>
      <c r="G40" s="241">
        <f t="shared" si="9"/>
      </c>
      <c r="H40" s="241">
        <f t="shared" si="9"/>
      </c>
      <c r="I40" s="326"/>
      <c r="J40" s="327"/>
      <c r="K40" s="31"/>
      <c r="L40" s="246"/>
      <c r="M40" s="246"/>
      <c r="N40" s="246"/>
      <c r="O40" s="246"/>
      <c r="P40" s="246"/>
      <c r="Q40" s="247"/>
      <c r="R40" s="251" t="str">
        <f>D40</f>
        <v>Užsienio kalba (prancūzų) (3-oji)</v>
      </c>
      <c r="S40" s="89" t="b">
        <v>0</v>
      </c>
      <c r="T40" s="249"/>
      <c r="U40" s="105">
        <f>IF(S40,1,0)</f>
        <v>0</v>
      </c>
      <c r="V40" s="72">
        <f>IF((SUM($U$37:$U$41)=1),1,0)</f>
        <v>0</v>
      </c>
      <c r="W40" s="94"/>
      <c r="X40" s="77">
        <f>IF(Y40=6,"B1","")</f>
      </c>
      <c r="Y40" s="77">
        <f>IF((S40)*(V40=1),6,0)</f>
        <v>0</v>
      </c>
      <c r="Z40" s="77">
        <f>IF(Y40=6,2,"")</f>
      </c>
      <c r="AA40" s="189">
        <f>IF(Y40=6,2,"")</f>
      </c>
    </row>
    <row r="41" spans="2:27" ht="16.5" customHeight="1" thickBot="1">
      <c r="B41" s="330"/>
      <c r="C41" s="325"/>
      <c r="D41" s="336" t="s">
        <v>155</v>
      </c>
      <c r="E41" s="337"/>
      <c r="F41" s="254">
        <f>X41</f>
      </c>
      <c r="G41" s="254">
        <f t="shared" si="9"/>
      </c>
      <c r="H41" s="255">
        <f t="shared" si="9"/>
      </c>
      <c r="I41" s="334"/>
      <c r="J41" s="335"/>
      <c r="K41" s="31"/>
      <c r="L41" s="246"/>
      <c r="M41" s="246"/>
      <c r="N41" s="246"/>
      <c r="O41" s="246"/>
      <c r="P41" s="246"/>
      <c r="Q41" s="247"/>
      <c r="R41" s="252" t="str">
        <f>D41</f>
        <v>Užsienio kalba (vokiečių) (3-oji)</v>
      </c>
      <c r="S41" s="89" t="b">
        <v>0</v>
      </c>
      <c r="T41" s="249"/>
      <c r="U41" s="105">
        <f>IF(S41,1,0)</f>
        <v>0</v>
      </c>
      <c r="V41" s="72">
        <f>IF((SUM($U$37:$U$41)=1),1,0)</f>
        <v>0</v>
      </c>
      <c r="W41" s="94"/>
      <c r="X41" s="77">
        <f>IF(Y41=6,"B1","")</f>
      </c>
      <c r="Y41" s="77">
        <f>IF((S41)*(V41=1),6,0)</f>
        <v>0</v>
      </c>
      <c r="Z41" s="77">
        <f>IF(Y41=6,2,"")</f>
      </c>
      <c r="AA41" s="189">
        <f>IF(Y41=6,2,"")</f>
      </c>
    </row>
    <row r="42" spans="2:27" ht="6" customHeight="1">
      <c r="B42" s="106"/>
      <c r="C42" s="2"/>
      <c r="D42" s="107"/>
      <c r="E42" s="250"/>
      <c r="F42" s="253"/>
      <c r="G42" s="2"/>
      <c r="H42" s="2"/>
      <c r="I42" s="108"/>
      <c r="J42" s="109"/>
      <c r="K42" s="46"/>
      <c r="O42" s="6"/>
      <c r="P42" s="6"/>
      <c r="R42" s="92"/>
      <c r="S42" s="93"/>
      <c r="T42" s="93"/>
      <c r="U42" s="94"/>
      <c r="V42" s="94"/>
      <c r="W42" s="94"/>
      <c r="X42" s="94"/>
      <c r="Y42" s="110"/>
      <c r="Z42" s="110"/>
      <c r="AA42" s="181"/>
    </row>
    <row r="43" spans="2:27" ht="24" customHeight="1" thickBot="1">
      <c r="B43" s="350" t="s">
        <v>159</v>
      </c>
      <c r="C43" s="351"/>
      <c r="D43" s="351"/>
      <c r="E43" s="351"/>
      <c r="F43" s="351"/>
      <c r="G43" s="351"/>
      <c r="H43" s="351"/>
      <c r="I43" s="352"/>
      <c r="J43" s="203"/>
      <c r="K43" s="95"/>
      <c r="M43" s="6"/>
      <c r="N43" s="6"/>
      <c r="O43" s="6"/>
      <c r="P43" s="6"/>
      <c r="Q43" s="6"/>
      <c r="R43" s="96"/>
      <c r="S43" s="97"/>
      <c r="T43" s="97"/>
      <c r="U43" s="98"/>
      <c r="V43" s="98"/>
      <c r="W43" s="98"/>
      <c r="X43" s="98"/>
      <c r="Y43" s="97"/>
      <c r="Z43" s="97"/>
      <c r="AA43" s="196"/>
    </row>
    <row r="44" spans="2:27" ht="15.75" customHeight="1">
      <c r="B44" s="1">
        <v>11</v>
      </c>
      <c r="C44" s="348" t="s">
        <v>56</v>
      </c>
      <c r="D44" s="348"/>
      <c r="E44" s="348"/>
      <c r="F44" s="113">
        <f>X44</f>
      </c>
      <c r="G44" s="86">
        <f aca="true" t="shared" si="10" ref="G44:H47">Z44</f>
      </c>
      <c r="H44" s="86">
        <f t="shared" si="10"/>
      </c>
      <c r="I44" s="114"/>
      <c r="J44" s="115"/>
      <c r="Q44" s="27"/>
      <c r="R44" s="99" t="str">
        <f>C44</f>
        <v>Braižyba</v>
      </c>
      <c r="S44" s="100" t="b">
        <v>0</v>
      </c>
      <c r="T44" s="100"/>
      <c r="U44" s="101">
        <f>IF(S44,1,0)</f>
        <v>0</v>
      </c>
      <c r="V44" s="72"/>
      <c r="W44" s="72"/>
      <c r="X44" s="72">
        <f>IF(Y44=2,"P","")</f>
      </c>
      <c r="Y44" s="72">
        <f>IF(S44,2,0)</f>
        <v>0</v>
      </c>
      <c r="Z44" s="72">
        <f>IF(Y44=2,1,"")</f>
      </c>
      <c r="AA44" s="195">
        <f>IF(Y44=2,1,"")</f>
      </c>
    </row>
    <row r="45" spans="2:27" ht="15.75" customHeight="1">
      <c r="B45" s="1">
        <v>12</v>
      </c>
      <c r="C45" s="348" t="s">
        <v>57</v>
      </c>
      <c r="D45" s="348"/>
      <c r="E45" s="348"/>
      <c r="F45" s="113">
        <f>X45</f>
      </c>
      <c r="G45" s="86">
        <f t="shared" si="10"/>
      </c>
      <c r="H45" s="86">
        <f t="shared" si="10"/>
      </c>
      <c r="I45" s="114"/>
      <c r="Q45" s="27"/>
      <c r="R45" s="103" t="str">
        <f>C45</f>
        <v>Ekonomika ir verslumas</v>
      </c>
      <c r="S45" s="75" t="b">
        <v>0</v>
      </c>
      <c r="T45" s="75"/>
      <c r="U45" s="104">
        <f>IF(S45,1,0)</f>
        <v>0</v>
      </c>
      <c r="V45" s="84"/>
      <c r="W45" s="84"/>
      <c r="X45" s="72">
        <f>IF(Y45=4,"P","")</f>
      </c>
      <c r="Y45" s="84">
        <f>IF(S45,4,0)</f>
        <v>0</v>
      </c>
      <c r="Z45" s="84">
        <f>IF(Y45=4,2,"")</f>
      </c>
      <c r="AA45" s="188">
        <f>IF(Y45=4,2,"")</f>
      </c>
    </row>
    <row r="46" spans="2:27" ht="15.75" customHeight="1">
      <c r="B46" s="260">
        <v>13</v>
      </c>
      <c r="C46" s="339" t="s">
        <v>152</v>
      </c>
      <c r="D46" s="340"/>
      <c r="E46" s="341"/>
      <c r="F46" s="160">
        <f>X46</f>
      </c>
      <c r="G46" s="54">
        <f t="shared" si="10"/>
      </c>
      <c r="H46" s="54">
        <f t="shared" si="10"/>
      </c>
      <c r="I46" s="122"/>
      <c r="O46" s="6"/>
      <c r="P46" s="6"/>
      <c r="Q46" s="27"/>
      <c r="R46" s="123" t="str">
        <f>C46</f>
        <v>Kompiuterinės muzikos technologijos</v>
      </c>
      <c r="S46" s="85" t="b">
        <v>0</v>
      </c>
      <c r="T46" s="85"/>
      <c r="U46" s="261">
        <f>IF(S46,1,0)</f>
        <v>0</v>
      </c>
      <c r="V46" s="262"/>
      <c r="W46" s="262"/>
      <c r="X46" s="262">
        <f>IF(Y46=2,"P","")</f>
      </c>
      <c r="Y46" s="262">
        <f>IF(S46,2,0)</f>
        <v>0</v>
      </c>
      <c r="Z46" s="262">
        <f>IF(Y46=2,1,"")</f>
      </c>
      <c r="AA46" s="263">
        <f>IF(Y46=2,1,"")</f>
      </c>
    </row>
    <row r="47" spans="2:27" ht="15.75" customHeight="1">
      <c r="B47" s="259">
        <v>14</v>
      </c>
      <c r="C47" s="345" t="s">
        <v>157</v>
      </c>
      <c r="D47" s="346"/>
      <c r="E47" s="347"/>
      <c r="F47" s="175">
        <f>X47</f>
      </c>
      <c r="G47" s="176">
        <f t="shared" si="10"/>
      </c>
      <c r="H47" s="176">
        <f t="shared" si="10"/>
      </c>
      <c r="I47" s="162"/>
      <c r="O47" s="6"/>
      <c r="P47" s="6"/>
      <c r="Q47" s="6"/>
      <c r="R47" s="217" t="str">
        <f>C47</f>
        <v>Modernioji biotechnologija </v>
      </c>
      <c r="S47" s="265" t="b">
        <v>0</v>
      </c>
      <c r="T47" s="265"/>
      <c r="U47" s="266">
        <f>IF(S47,1,0)</f>
        <v>0</v>
      </c>
      <c r="V47" s="200"/>
      <c r="W47" s="200"/>
      <c r="X47" s="200">
        <f>IF(Y47=2,"P","")</f>
      </c>
      <c r="Y47" s="200">
        <f>IF(S47,2,0)</f>
        <v>0</v>
      </c>
      <c r="Z47" s="200">
        <f>IF(Y47=2,1,"")</f>
      </c>
      <c r="AA47" s="200">
        <f>IF(Y47=2,1,"")</f>
      </c>
    </row>
    <row r="48" spans="2:27" ht="10.5" customHeight="1" thickBot="1">
      <c r="B48" s="116"/>
      <c r="C48" s="116"/>
      <c r="D48" s="116"/>
      <c r="E48" s="116"/>
      <c r="F48" s="117"/>
      <c r="G48" s="117"/>
      <c r="H48" s="117"/>
      <c r="I48" s="117"/>
      <c r="J48" s="118"/>
      <c r="K48" s="31"/>
      <c r="R48" s="117"/>
      <c r="S48" s="4"/>
      <c r="Y48" s="264"/>
      <c r="AA48" s="198"/>
    </row>
    <row r="49" spans="1:27" ht="27" customHeight="1" thickBot="1">
      <c r="A49" s="5"/>
      <c r="B49" s="343" t="s">
        <v>160</v>
      </c>
      <c r="C49" s="343"/>
      <c r="D49" s="343"/>
      <c r="E49" s="343"/>
      <c r="F49" s="343"/>
      <c r="G49" s="343"/>
      <c r="H49" s="343"/>
      <c r="I49" s="343"/>
      <c r="J49" s="29"/>
      <c r="K49" s="29"/>
      <c r="L49" s="111"/>
      <c r="M49" s="111"/>
      <c r="N49" s="111"/>
      <c r="O49" s="111"/>
      <c r="P49" s="111"/>
      <c r="Q49" s="111"/>
      <c r="R49" s="154"/>
      <c r="S49" s="5"/>
      <c r="T49" s="112"/>
      <c r="U49" s="79"/>
      <c r="V49" s="79"/>
      <c r="W49" s="79"/>
      <c r="X49" s="79"/>
      <c r="Y49" s="79"/>
      <c r="Z49" s="79"/>
      <c r="AA49" s="197"/>
    </row>
    <row r="50" spans="2:27" ht="24.75" customHeight="1">
      <c r="B50" s="163">
        <v>15</v>
      </c>
      <c r="C50" s="172" t="s">
        <v>39</v>
      </c>
      <c r="D50" s="309" t="s">
        <v>156</v>
      </c>
      <c r="E50" s="342"/>
      <c r="F50" s="302">
        <f aca="true" t="shared" si="11" ref="F50:F55">X50</f>
      </c>
      <c r="G50" s="231"/>
      <c r="H50" s="231">
        <f aca="true" t="shared" si="12" ref="H50:H55">AA50</f>
      </c>
      <c r="I50" s="174"/>
      <c r="J50" s="120"/>
      <c r="K50" s="121"/>
      <c r="L50" s="313">
        <f>IF(AND(U50=1,NOT(T18)),"Turite pasirinkti BIOLOGIJOS A kursą","")</f>
      </c>
      <c r="M50" s="313"/>
      <c r="N50" s="313"/>
      <c r="O50" s="313"/>
      <c r="P50" s="246"/>
      <c r="Q50" s="27"/>
      <c r="R50" s="74" t="str">
        <f aca="true" t="shared" si="13" ref="R50:R55">D50</f>
        <v>Ląstelės biologija ir chemija, A kursui</v>
      </c>
      <c r="S50" s="42" t="b">
        <v>0</v>
      </c>
      <c r="T50" s="75"/>
      <c r="U50" s="84">
        <f aca="true" t="shared" si="14" ref="U50:U55">IF(S50,1,0)</f>
        <v>0</v>
      </c>
      <c r="V50" s="75"/>
      <c r="W50" s="104">
        <f>IF(AND(U50=1,T18),1,0)</f>
        <v>0</v>
      </c>
      <c r="X50" s="104">
        <f aca="true" t="shared" si="15" ref="X50:X55">IF(Y50&lt;&gt;0,"M","")</f>
      </c>
      <c r="Y50" s="84">
        <f>IF(S50*W50,1,0)</f>
        <v>0</v>
      </c>
      <c r="Z50" s="84"/>
      <c r="AA50" s="188">
        <f>IF(Y50=1,1,"")</f>
      </c>
    </row>
    <row r="51" spans="2:27" ht="24.75" customHeight="1">
      <c r="B51" s="217">
        <v>16</v>
      </c>
      <c r="C51" s="230" t="s">
        <v>40</v>
      </c>
      <c r="D51" s="344" t="s">
        <v>64</v>
      </c>
      <c r="E51" s="344"/>
      <c r="F51" s="173">
        <f t="shared" si="11"/>
      </c>
      <c r="G51" s="61"/>
      <c r="H51" s="61">
        <f t="shared" si="12"/>
      </c>
      <c r="I51" s="165"/>
      <c r="J51" s="120"/>
      <c r="K51" s="121"/>
      <c r="L51" s="313">
        <f>IF(AND(U51=1,NOT(T19)),"Turite pasirinkti CHEMIJOS A kursą","")</f>
      </c>
      <c r="M51" s="313"/>
      <c r="N51" s="313"/>
      <c r="O51" s="313"/>
      <c r="P51" s="246"/>
      <c r="Q51" s="27"/>
      <c r="R51" s="166" t="str">
        <f t="shared" si="13"/>
        <v>Eksperimentiniai chemijos darbai, A kursui</v>
      </c>
      <c r="S51" s="167" t="b">
        <v>0</v>
      </c>
      <c r="T51" s="156"/>
      <c r="U51" s="157">
        <f t="shared" si="14"/>
        <v>0</v>
      </c>
      <c r="V51" s="156"/>
      <c r="W51" s="168">
        <f>IF(AND(U51=1,T19),1,0)</f>
        <v>0</v>
      </c>
      <c r="X51" s="168">
        <f t="shared" si="15"/>
      </c>
      <c r="Y51" s="157">
        <f>IF(S51*W51,2,0)</f>
        <v>0</v>
      </c>
      <c r="Z51" s="157"/>
      <c r="AA51" s="199">
        <f>IF(Y51=2,2,"")</f>
      </c>
    </row>
    <row r="52" spans="2:27" ht="24.75" customHeight="1">
      <c r="B52" s="163">
        <v>17</v>
      </c>
      <c r="C52" s="119" t="s">
        <v>33</v>
      </c>
      <c r="D52" s="362" t="s">
        <v>147</v>
      </c>
      <c r="E52" s="363"/>
      <c r="F52" s="160">
        <f t="shared" si="11"/>
      </c>
      <c r="G52" s="54"/>
      <c r="H52" s="54">
        <f t="shared" si="12"/>
      </c>
      <c r="I52" s="162"/>
      <c r="J52" s="120"/>
      <c r="K52" s="121"/>
      <c r="L52" s="313">
        <f>IF(AND(U52=1,NOT(T17)),"Turite pasirinkti GEOGRAFIJOS A kursą","")</f>
      </c>
      <c r="M52" s="313"/>
      <c r="N52" s="313"/>
      <c r="O52" s="313"/>
      <c r="P52" s="246"/>
      <c r="Q52" s="27"/>
      <c r="R52" s="123" t="str">
        <f t="shared" si="13"/>
        <v>Darbas su geografijos šaltiniais A kursui</v>
      </c>
      <c r="S52" s="42" t="b">
        <v>0</v>
      </c>
      <c r="T52" s="75"/>
      <c r="U52" s="84">
        <f t="shared" si="14"/>
        <v>0</v>
      </c>
      <c r="V52" s="75"/>
      <c r="W52" s="104">
        <f>IF(AND(U52=1,T17),1,0)</f>
        <v>0</v>
      </c>
      <c r="X52" s="104">
        <f t="shared" si="15"/>
      </c>
      <c r="Y52" s="84">
        <f>IF(S52*W52,1,0)</f>
        <v>0</v>
      </c>
      <c r="Z52" s="84"/>
      <c r="AA52" s="188">
        <f>IF(Y52=1,1,"")</f>
      </c>
    </row>
    <row r="53" spans="1:27" ht="24.75" customHeight="1">
      <c r="A53" s="5"/>
      <c r="B53" s="240">
        <v>18</v>
      </c>
      <c r="C53" s="164" t="s">
        <v>32</v>
      </c>
      <c r="D53" s="348" t="s">
        <v>63</v>
      </c>
      <c r="E53" s="348"/>
      <c r="F53" s="160">
        <f t="shared" si="11"/>
      </c>
      <c r="G53" s="54"/>
      <c r="H53" s="54">
        <f t="shared" si="12"/>
      </c>
      <c r="I53" s="161"/>
      <c r="J53" s="29"/>
      <c r="K53" s="29"/>
      <c r="L53" s="313">
        <f>IF(AND(U53=1,NOT(T16)),"Turite pasirinkti ISTORIJOS A kursą","")</f>
      </c>
      <c r="M53" s="313"/>
      <c r="N53" s="313"/>
      <c r="O53" s="313"/>
      <c r="P53" s="246"/>
      <c r="Q53" s="47"/>
      <c r="R53" s="74" t="str">
        <f t="shared" si="13"/>
        <v>Darbas su istorijos šaltiniais, A kursui</v>
      </c>
      <c r="S53" s="42" t="b">
        <v>0</v>
      </c>
      <c r="T53" s="75"/>
      <c r="U53" s="84">
        <f t="shared" si="14"/>
        <v>0</v>
      </c>
      <c r="V53" s="75"/>
      <c r="W53" s="104">
        <f>IF(AND(U53=1,T16),1,0)</f>
        <v>0</v>
      </c>
      <c r="X53" s="104">
        <f t="shared" si="15"/>
      </c>
      <c r="Y53" s="84">
        <f>IF(S53*W53,1,0)</f>
        <v>0</v>
      </c>
      <c r="Z53" s="84"/>
      <c r="AA53" s="195">
        <f>IF(Y53=1,1,"")</f>
      </c>
    </row>
    <row r="54" spans="1:28" ht="24.75" customHeight="1">
      <c r="A54" s="5"/>
      <c r="B54" s="217">
        <v>19</v>
      </c>
      <c r="C54" s="257" t="s">
        <v>61</v>
      </c>
      <c r="D54" s="366" t="s">
        <v>62</v>
      </c>
      <c r="E54" s="366"/>
      <c r="F54" s="175">
        <f t="shared" si="11"/>
      </c>
      <c r="G54" s="176"/>
      <c r="H54" s="176">
        <f t="shared" si="12"/>
      </c>
      <c r="I54" s="258"/>
      <c r="J54" s="29"/>
      <c r="K54" s="29"/>
      <c r="L54" s="313">
        <f>IF(AND(U54=1,NOT(T13)),"Turite pasirinkti LIETUVIŲ K. A kursą","")</f>
      </c>
      <c r="M54" s="313"/>
      <c r="N54" s="313"/>
      <c r="O54" s="313"/>
      <c r="P54" s="246"/>
      <c r="Q54" s="47"/>
      <c r="R54" s="158" t="str">
        <f t="shared" si="13"/>
        <v>Teksto kūrimas ir redagavimas, A kursui</v>
      </c>
      <c r="S54" s="155" t="b">
        <v>0</v>
      </c>
      <c r="T54" s="100"/>
      <c r="U54" s="72">
        <f t="shared" si="14"/>
        <v>0</v>
      </c>
      <c r="V54" s="100"/>
      <c r="W54" s="101">
        <f>IF(AND(U54=1,T13),1,0)</f>
        <v>0</v>
      </c>
      <c r="X54" s="101">
        <f t="shared" si="15"/>
      </c>
      <c r="Y54" s="72">
        <f>IF(S54*W54,1,0)</f>
        <v>0</v>
      </c>
      <c r="Z54" s="159"/>
      <c r="AA54" s="200">
        <f>IF(Y54=1,1,"")</f>
      </c>
      <c r="AB54" s="93"/>
    </row>
    <row r="55" spans="1:28" ht="24.75" customHeight="1">
      <c r="A55" s="5"/>
      <c r="B55" s="217">
        <v>20</v>
      </c>
      <c r="C55" s="304" t="s">
        <v>162</v>
      </c>
      <c r="D55" s="366" t="s">
        <v>163</v>
      </c>
      <c r="E55" s="366"/>
      <c r="F55" s="175">
        <f t="shared" si="11"/>
      </c>
      <c r="G55" s="176"/>
      <c r="H55" s="176">
        <f t="shared" si="12"/>
      </c>
      <c r="I55" s="258"/>
      <c r="J55" s="29"/>
      <c r="K55" s="29"/>
      <c r="L55" s="313">
        <f>IF(AND(U55=1,NOT(T20)),"Turite pasirinkti FIZIKOS A kursą","")</f>
      </c>
      <c r="M55" s="313"/>
      <c r="N55" s="313"/>
      <c r="O55" s="313"/>
      <c r="P55" s="246"/>
      <c r="Q55" s="111"/>
      <c r="R55" s="158" t="str">
        <f t="shared" si="13"/>
        <v>"Fizikos kompleksinių uždavinių sprendimas", A kursui</v>
      </c>
      <c r="S55" s="155" t="b">
        <v>0</v>
      </c>
      <c r="T55" s="100"/>
      <c r="U55" s="72">
        <f t="shared" si="14"/>
        <v>0</v>
      </c>
      <c r="V55" s="100"/>
      <c r="W55" s="101">
        <f>IF(AND(U55=1,T120),1,0)</f>
        <v>0</v>
      </c>
      <c r="X55" s="101">
        <f t="shared" si="15"/>
      </c>
      <c r="Y55" s="72">
        <f>IF(S55*W55,1,0)</f>
        <v>0</v>
      </c>
      <c r="Z55" s="159"/>
      <c r="AA55" s="200">
        <f>IF(Y55=1,1,"")</f>
      </c>
      <c r="AB55" s="93"/>
    </row>
    <row r="56" spans="2:9" ht="15.75">
      <c r="B56" s="217">
        <v>21</v>
      </c>
      <c r="C56" s="367" t="s">
        <v>153</v>
      </c>
      <c r="D56" s="368"/>
      <c r="E56" s="369"/>
      <c r="F56" s="218"/>
      <c r="G56" s="218"/>
      <c r="H56" s="218"/>
      <c r="I56" s="218"/>
    </row>
    <row r="57" ht="9.75" customHeight="1"/>
    <row r="58" ht="3" customHeight="1"/>
    <row r="59" spans="18:27" ht="3.75" customHeight="1">
      <c r="R59" s="117"/>
      <c r="S59" s="4"/>
      <c r="W59" s="124"/>
      <c r="X59" s="117"/>
      <c r="Y59" s="110"/>
      <c r="Z59" s="110"/>
      <c r="AA59" s="110"/>
    </row>
    <row r="60" spans="3:19" ht="8.25" customHeight="1">
      <c r="C60" s="125"/>
      <c r="D60" s="126"/>
      <c r="E60" s="127"/>
      <c r="G60" s="127"/>
      <c r="H60" s="128"/>
      <c r="I60" s="127"/>
      <c r="J60" s="129"/>
      <c r="K60" s="130"/>
      <c r="R60" s="4"/>
      <c r="S60" s="4"/>
    </row>
    <row r="61" spans="3:19" ht="15" customHeight="1" hidden="1">
      <c r="C61" s="125"/>
      <c r="D61" s="126"/>
      <c r="E61" s="127"/>
      <c r="G61" s="127"/>
      <c r="H61" s="128"/>
      <c r="I61" s="127"/>
      <c r="J61" s="129"/>
      <c r="K61" s="130"/>
      <c r="R61" s="4"/>
      <c r="S61" s="4"/>
    </row>
    <row r="62" spans="3:19" ht="15.75">
      <c r="C62" s="248">
        <f ca="1">TODAY()</f>
        <v>43929</v>
      </c>
      <c r="F62" s="93"/>
      <c r="G62" s="364"/>
      <c r="H62" s="364"/>
      <c r="I62" s="364"/>
      <c r="J62" s="364"/>
      <c r="K62" s="111"/>
      <c r="Q62" s="117"/>
      <c r="R62" s="4"/>
      <c r="S62" s="4"/>
    </row>
    <row r="63" spans="3:19" ht="15.75">
      <c r="C63" s="110" t="s">
        <v>67</v>
      </c>
      <c r="E63" s="131" t="s">
        <v>68</v>
      </c>
      <c r="F63" s="93"/>
      <c r="G63" s="365" t="s">
        <v>69</v>
      </c>
      <c r="H63" s="365"/>
      <c r="I63" s="365"/>
      <c r="J63" s="365"/>
      <c r="K63" s="111"/>
      <c r="Q63" s="117"/>
      <c r="R63" s="4"/>
      <c r="S63" s="4"/>
    </row>
    <row r="64" spans="2:19" ht="13.5" thickBot="1">
      <c r="B64" s="132"/>
      <c r="C64" s="132"/>
      <c r="D64" s="132"/>
      <c r="E64" s="132"/>
      <c r="F64" s="132"/>
      <c r="G64" s="132"/>
      <c r="H64" s="132"/>
      <c r="I64" s="132"/>
      <c r="J64" s="132"/>
      <c r="K64" s="133"/>
      <c r="L64" s="134"/>
      <c r="M64" s="134"/>
      <c r="N64" s="134"/>
      <c r="O64" s="134"/>
      <c r="P64" s="134"/>
      <c r="Q64" s="134"/>
      <c r="R64" s="117"/>
      <c r="S64" s="4"/>
    </row>
    <row r="65" spans="1:19" ht="13.5" thickTop="1">
      <c r="A65" s="361" t="s">
        <v>70</v>
      </c>
      <c r="B65" s="361"/>
      <c r="C65" s="361"/>
      <c r="D65" s="361"/>
      <c r="E65" s="361"/>
      <c r="F65" s="361"/>
      <c r="G65" s="361"/>
      <c r="H65" s="361"/>
      <c r="I65" s="361"/>
      <c r="J65" s="361"/>
      <c r="K65" s="135"/>
      <c r="L65" s="134"/>
      <c r="M65" s="136"/>
      <c r="N65" s="136"/>
      <c r="O65" s="136"/>
      <c r="P65" s="136"/>
      <c r="Q65" s="136"/>
      <c r="R65" s="117"/>
      <c r="S65" s="4"/>
    </row>
    <row r="66" spans="18:19" ht="15.75" hidden="1">
      <c r="R66" s="117"/>
      <c r="S66" s="4"/>
    </row>
    <row r="67" spans="18:19" ht="15.75" hidden="1">
      <c r="R67" s="117"/>
      <c r="S67" s="4"/>
    </row>
    <row r="68" spans="18:19" ht="15.75" hidden="1">
      <c r="R68" s="117"/>
      <c r="S68" s="4"/>
    </row>
    <row r="69" spans="18:19" ht="15.75" hidden="1">
      <c r="R69" s="117"/>
      <c r="S69" s="4"/>
    </row>
    <row r="70" spans="18:19" ht="15.75" hidden="1">
      <c r="R70" s="117"/>
      <c r="S70" s="4"/>
    </row>
    <row r="71" spans="18:19" ht="15.75" hidden="1">
      <c r="R71" s="117"/>
      <c r="S71" s="4"/>
    </row>
    <row r="72" spans="18:19" ht="15.75" hidden="1">
      <c r="R72" s="117"/>
      <c r="S72" s="4"/>
    </row>
    <row r="73" spans="18:19" ht="15.75" hidden="1">
      <c r="R73" s="117"/>
      <c r="S73" s="4"/>
    </row>
    <row r="74" spans="18:19" ht="15.75" hidden="1">
      <c r="R74" s="117"/>
      <c r="S74" s="4"/>
    </row>
    <row r="75" spans="18:19" ht="15.75" hidden="1">
      <c r="R75" s="117"/>
      <c r="S75" s="4"/>
    </row>
    <row r="76" spans="18:19" ht="15.75" hidden="1">
      <c r="R76" s="117"/>
      <c r="S76" s="4"/>
    </row>
    <row r="77" spans="18:19" ht="15.75" hidden="1">
      <c r="R77" s="117"/>
      <c r="S77" s="4"/>
    </row>
    <row r="78" spans="18:19" ht="15.75" hidden="1">
      <c r="R78" s="117"/>
      <c r="S78" s="4"/>
    </row>
    <row r="79" spans="18:19" ht="15.75" hidden="1">
      <c r="R79" s="117"/>
      <c r="S79" s="4"/>
    </row>
    <row r="80" spans="18:19" ht="15.75" hidden="1">
      <c r="R80" s="117"/>
      <c r="S80" s="4"/>
    </row>
    <row r="81" spans="18:19" ht="15.75" hidden="1">
      <c r="R81" s="117"/>
      <c r="S81" s="4"/>
    </row>
    <row r="82" spans="18:19" ht="15.75" hidden="1">
      <c r="R82" s="117"/>
      <c r="S82" s="4"/>
    </row>
    <row r="83" spans="18:19" ht="15.75" hidden="1">
      <c r="R83" s="117"/>
      <c r="S83" s="4"/>
    </row>
    <row r="84" spans="18:19" ht="15.75" hidden="1">
      <c r="R84" s="117"/>
      <c r="S84" s="4"/>
    </row>
    <row r="85" spans="18:19" ht="15.75" hidden="1">
      <c r="R85" s="117"/>
      <c r="S85" s="4"/>
    </row>
    <row r="86" spans="18:19" ht="15.75" hidden="1">
      <c r="R86" s="117"/>
      <c r="S86" s="4"/>
    </row>
    <row r="87" spans="18:19" ht="15.75" hidden="1">
      <c r="R87" s="117"/>
      <c r="S87" s="4"/>
    </row>
    <row r="88" spans="18:19" ht="15.75" hidden="1">
      <c r="R88" s="117"/>
      <c r="S88" s="4"/>
    </row>
    <row r="89" spans="18:19" ht="15.75" hidden="1">
      <c r="R89" s="117"/>
      <c r="S89" s="4"/>
    </row>
    <row r="90" spans="18:19" ht="15.75" hidden="1">
      <c r="R90" s="117"/>
      <c r="S90" s="4"/>
    </row>
    <row r="91" spans="18:19" ht="15.75" hidden="1">
      <c r="R91" s="117"/>
      <c r="S91" s="4"/>
    </row>
    <row r="92" spans="18:19" ht="15.75" hidden="1">
      <c r="R92" s="117"/>
      <c r="S92" s="4"/>
    </row>
    <row r="93" spans="18:19" ht="15.75" hidden="1">
      <c r="R93" s="117"/>
      <c r="S93" s="4"/>
    </row>
    <row r="94" spans="18:19" ht="15.75" hidden="1">
      <c r="R94" s="117"/>
      <c r="S94" s="4"/>
    </row>
    <row r="95" spans="18:19" ht="15.75" hidden="1">
      <c r="R95" s="117"/>
      <c r="S95" s="4"/>
    </row>
    <row r="96" spans="18:19" ht="15.75" hidden="1">
      <c r="R96" s="117"/>
      <c r="S96" s="4"/>
    </row>
    <row r="97" spans="18:19" ht="15.75" hidden="1">
      <c r="R97" s="117"/>
      <c r="S97" s="4"/>
    </row>
    <row r="98" spans="18:19" ht="15.75" hidden="1">
      <c r="R98" s="117"/>
      <c r="S98" s="4"/>
    </row>
    <row r="99" spans="18:19" ht="15.75" hidden="1">
      <c r="R99" s="117"/>
      <c r="S99" s="4"/>
    </row>
    <row r="100" spans="18:19" ht="15.75" hidden="1">
      <c r="R100" s="117"/>
      <c r="S100" s="4"/>
    </row>
    <row r="101" spans="18:19" ht="15.75" hidden="1">
      <c r="R101" s="117"/>
      <c r="S101" s="4"/>
    </row>
    <row r="102" spans="18:19" ht="15.75" hidden="1">
      <c r="R102" s="117"/>
      <c r="S102" s="4"/>
    </row>
    <row r="103" spans="18:19" ht="15.75" hidden="1">
      <c r="R103" s="117"/>
      <c r="S103" s="4"/>
    </row>
    <row r="104" spans="18:19" ht="15.75" hidden="1">
      <c r="R104" s="117"/>
      <c r="S104" s="4"/>
    </row>
    <row r="105" spans="18:19" ht="15.75" hidden="1">
      <c r="R105" s="117"/>
      <c r="S105" s="4"/>
    </row>
    <row r="106" spans="18:19" ht="15.75" hidden="1">
      <c r="R106" s="117"/>
      <c r="S106" s="4"/>
    </row>
    <row r="107" spans="18:19" ht="15.75" hidden="1">
      <c r="R107" s="117"/>
      <c r="S107" s="4"/>
    </row>
    <row r="108" spans="18:19" ht="15.75" hidden="1">
      <c r="R108" s="117"/>
      <c r="S108" s="4"/>
    </row>
    <row r="109" spans="18:19" ht="15.75" hidden="1">
      <c r="R109" s="117"/>
      <c r="S109" s="4"/>
    </row>
    <row r="110" spans="18:19" ht="15.75" hidden="1">
      <c r="R110" s="117"/>
      <c r="S110" s="4"/>
    </row>
    <row r="111" spans="18:19" ht="15.75" hidden="1">
      <c r="R111" s="117"/>
      <c r="S111" s="4"/>
    </row>
    <row r="112" spans="18:19" ht="15.75" hidden="1">
      <c r="R112" s="117"/>
      <c r="S112" s="4"/>
    </row>
    <row r="113" spans="18:19" ht="15.75" hidden="1">
      <c r="R113" s="117"/>
      <c r="S113" s="4"/>
    </row>
    <row r="114" spans="18:19" ht="15.75" hidden="1">
      <c r="R114" s="117"/>
      <c r="S114" s="4"/>
    </row>
    <row r="115" spans="18:19" ht="15.75" hidden="1">
      <c r="R115" s="117"/>
      <c r="S115" s="4"/>
    </row>
    <row r="116" spans="18:19" ht="15.75" hidden="1">
      <c r="R116" s="117"/>
      <c r="S116" s="4"/>
    </row>
    <row r="117" spans="18:19" ht="15.75" hidden="1">
      <c r="R117" s="117"/>
      <c r="S117" s="4"/>
    </row>
    <row r="118" spans="18:19" ht="15.75" hidden="1">
      <c r="R118" s="117"/>
      <c r="S118" s="4"/>
    </row>
    <row r="119" spans="18:19" ht="15.75" hidden="1">
      <c r="R119" s="117"/>
      <c r="S119" s="4"/>
    </row>
    <row r="120" spans="18:19" ht="15.75" hidden="1">
      <c r="R120" s="117"/>
      <c r="S120" s="4"/>
    </row>
    <row r="121" spans="18:19" ht="15.75" hidden="1">
      <c r="R121" s="117"/>
      <c r="S121" s="4"/>
    </row>
    <row r="122" spans="18:19" ht="15.75" hidden="1">
      <c r="R122" s="117"/>
      <c r="S122" s="4"/>
    </row>
    <row r="123" spans="18:19" ht="15.75" hidden="1">
      <c r="R123" s="117"/>
      <c r="S123" s="4"/>
    </row>
    <row r="124" spans="18:19" ht="15.75" hidden="1">
      <c r="R124" s="117"/>
      <c r="S124" s="4"/>
    </row>
    <row r="125" spans="18:19" ht="15.75" hidden="1">
      <c r="R125" s="117"/>
      <c r="S125" s="4"/>
    </row>
    <row r="126" spans="18:19" ht="15.75" hidden="1">
      <c r="R126" s="117"/>
      <c r="S126" s="4"/>
    </row>
    <row r="127" spans="18:19" ht="15.75" hidden="1">
      <c r="R127" s="117"/>
      <c r="S127" s="4"/>
    </row>
    <row r="128" spans="18:19" ht="15.75" hidden="1">
      <c r="R128" s="117"/>
      <c r="S128" s="4"/>
    </row>
    <row r="129" spans="18:19" ht="15.75" hidden="1">
      <c r="R129" s="117"/>
      <c r="S129" s="4"/>
    </row>
    <row r="130" spans="18:19" ht="15.75" hidden="1">
      <c r="R130" s="117"/>
      <c r="S130" s="4"/>
    </row>
    <row r="131" spans="18:19" ht="15.75" hidden="1">
      <c r="R131" s="117"/>
      <c r="S131" s="4"/>
    </row>
    <row r="132" spans="18:19" ht="15.75" hidden="1">
      <c r="R132" s="117"/>
      <c r="S132" s="4"/>
    </row>
    <row r="133" spans="18:19" ht="15.75" hidden="1">
      <c r="R133" s="117"/>
      <c r="S133" s="4"/>
    </row>
    <row r="134" spans="18:19" ht="15.75" hidden="1">
      <c r="R134" s="117"/>
      <c r="S134" s="4"/>
    </row>
    <row r="135" spans="18:19" ht="15.75" hidden="1">
      <c r="R135" s="117"/>
      <c r="S135" s="4"/>
    </row>
    <row r="136" spans="18:19" ht="15.75" hidden="1">
      <c r="R136" s="117"/>
      <c r="S136" s="4"/>
    </row>
    <row r="137" spans="18:19" ht="15.75" hidden="1">
      <c r="R137" s="117"/>
      <c r="S137" s="4"/>
    </row>
    <row r="138" spans="18:19" ht="15.75" hidden="1">
      <c r="R138" s="117"/>
      <c r="S138" s="4"/>
    </row>
    <row r="139" spans="18:19" ht="15.75" hidden="1">
      <c r="R139" s="117"/>
      <c r="S139" s="4"/>
    </row>
    <row r="140" spans="18:19" ht="15.75" hidden="1">
      <c r="R140" s="117"/>
      <c r="S140" s="4"/>
    </row>
    <row r="141" spans="18:19" ht="15.75" hidden="1">
      <c r="R141" s="117"/>
      <c r="S141" s="4"/>
    </row>
    <row r="142" spans="18:19" ht="15.75" hidden="1">
      <c r="R142" s="117"/>
      <c r="S142" s="4"/>
    </row>
    <row r="143" spans="18:19" ht="15.75" hidden="1">
      <c r="R143" s="117"/>
      <c r="S143" s="4"/>
    </row>
    <row r="144" spans="18:19" ht="15.75" hidden="1">
      <c r="R144" s="117"/>
      <c r="S144" s="4"/>
    </row>
    <row r="145" spans="18:19" ht="15.75" hidden="1">
      <c r="R145" s="117"/>
      <c r="S145" s="4"/>
    </row>
    <row r="146" spans="18:19" ht="15.75" hidden="1">
      <c r="R146" s="117"/>
      <c r="S146" s="4"/>
    </row>
    <row r="147" spans="18:19" ht="15.75" hidden="1">
      <c r="R147" s="117"/>
      <c r="S147" s="4"/>
    </row>
    <row r="148" spans="18:19" ht="15.75" hidden="1">
      <c r="R148" s="117"/>
      <c r="S148" s="4"/>
    </row>
    <row r="149" spans="18:19" ht="15.75" hidden="1">
      <c r="R149" s="117"/>
      <c r="S149" s="4"/>
    </row>
    <row r="150" spans="18:19" ht="15.75" hidden="1">
      <c r="R150" s="117"/>
      <c r="S150" s="4"/>
    </row>
    <row r="151" spans="18:19" ht="15.75" hidden="1">
      <c r="R151" s="117"/>
      <c r="S151" s="4"/>
    </row>
    <row r="152" spans="18:19" ht="15.75" hidden="1">
      <c r="R152" s="117"/>
      <c r="S152" s="4"/>
    </row>
    <row r="153" spans="18:19" ht="15.75" hidden="1">
      <c r="R153" s="117"/>
      <c r="S153" s="4"/>
    </row>
    <row r="154" spans="18:19" ht="15.75" hidden="1">
      <c r="R154" s="117"/>
      <c r="S154" s="4"/>
    </row>
    <row r="155" spans="18:19" ht="15.75" hidden="1">
      <c r="R155" s="117"/>
      <c r="S155" s="4"/>
    </row>
    <row r="156" spans="18:19" ht="15.75" hidden="1">
      <c r="R156" s="117"/>
      <c r="S156" s="4"/>
    </row>
    <row r="157" spans="18:19" ht="15.75" hidden="1">
      <c r="R157" s="117"/>
      <c r="S157" s="4"/>
    </row>
    <row r="158" spans="18:19" ht="15.75" hidden="1">
      <c r="R158" s="117"/>
      <c r="S158" s="4"/>
    </row>
    <row r="159" spans="18:19" ht="15.75" hidden="1">
      <c r="R159" s="117"/>
      <c r="S159" s="4"/>
    </row>
    <row r="160" spans="18:19" ht="15.75" hidden="1">
      <c r="R160" s="117"/>
      <c r="S160" s="4"/>
    </row>
    <row r="161" spans="18:19" ht="15.75" hidden="1">
      <c r="R161" s="117"/>
      <c r="S161" s="4"/>
    </row>
    <row r="162" spans="18:19" ht="15.75" hidden="1">
      <c r="R162" s="117"/>
      <c r="S162" s="4"/>
    </row>
    <row r="163" spans="18:19" ht="15.75" hidden="1">
      <c r="R163" s="117"/>
      <c r="S163" s="4"/>
    </row>
    <row r="164" spans="18:19" ht="15.75" hidden="1">
      <c r="R164" s="117"/>
      <c r="S164" s="4"/>
    </row>
    <row r="165" spans="18:19" ht="15.75" hidden="1">
      <c r="R165" s="117"/>
      <c r="S165" s="4"/>
    </row>
    <row r="166" spans="18:19" ht="15.75" hidden="1">
      <c r="R166" s="117"/>
      <c r="S166" s="4"/>
    </row>
    <row r="167" spans="18:19" ht="15.75" hidden="1">
      <c r="R167" s="117"/>
      <c r="S167" s="4"/>
    </row>
    <row r="168" spans="18:19" ht="15.75" hidden="1">
      <c r="R168" s="117"/>
      <c r="S168" s="4"/>
    </row>
    <row r="169" spans="18:19" ht="15.75" hidden="1">
      <c r="R169" s="117"/>
      <c r="S169" s="4"/>
    </row>
    <row r="170" spans="18:19" ht="15.75" hidden="1">
      <c r="R170" s="117"/>
      <c r="S170" s="4"/>
    </row>
    <row r="171" spans="18:19" ht="15.75" hidden="1">
      <c r="R171" s="117"/>
      <c r="S171" s="4"/>
    </row>
    <row r="172" spans="18:19" ht="15.75" hidden="1">
      <c r="R172" s="117"/>
      <c r="S172" s="4"/>
    </row>
    <row r="173" spans="18:19" ht="15.75" hidden="1">
      <c r="R173" s="117"/>
      <c r="S173" s="4"/>
    </row>
    <row r="174" spans="18:19" ht="15.75" hidden="1">
      <c r="R174" s="117"/>
      <c r="S174" s="4"/>
    </row>
    <row r="175" spans="18:19" ht="15.75" hidden="1">
      <c r="R175" s="117"/>
      <c r="S175" s="4"/>
    </row>
    <row r="176" spans="18:19" ht="15.75" hidden="1">
      <c r="R176" s="117"/>
      <c r="S176" s="4"/>
    </row>
    <row r="177" spans="18:19" ht="15.75" hidden="1">
      <c r="R177" s="117"/>
      <c r="S177" s="4"/>
    </row>
    <row r="178" spans="18:19" ht="15.75" hidden="1">
      <c r="R178" s="117"/>
      <c r="S178" s="4"/>
    </row>
    <row r="179" spans="18:19" ht="15.75" hidden="1">
      <c r="R179" s="117"/>
      <c r="S179" s="4"/>
    </row>
    <row r="180" spans="18:19" ht="15.75" hidden="1">
      <c r="R180" s="117"/>
      <c r="S180" s="4"/>
    </row>
    <row r="181" spans="18:19" ht="15.75" hidden="1">
      <c r="R181" s="117"/>
      <c r="S181" s="4"/>
    </row>
    <row r="182" spans="18:19" ht="15.75" hidden="1">
      <c r="R182" s="117"/>
      <c r="S182" s="4"/>
    </row>
    <row r="183" spans="18:19" ht="15.75" hidden="1">
      <c r="R183" s="117"/>
      <c r="S183" s="4"/>
    </row>
    <row r="184" spans="18:19" ht="15.75" hidden="1">
      <c r="R184" s="117"/>
      <c r="S184" s="4"/>
    </row>
    <row r="185" spans="18:19" ht="15.75" hidden="1">
      <c r="R185" s="117"/>
      <c r="S185" s="4"/>
    </row>
    <row r="186" spans="18:19" ht="15.75" hidden="1">
      <c r="R186" s="117"/>
      <c r="S186" s="4"/>
    </row>
    <row r="187" spans="18:19" ht="15.75" hidden="1">
      <c r="R187" s="117"/>
      <c r="S187" s="4"/>
    </row>
    <row r="188" spans="18:19" ht="15.75" hidden="1">
      <c r="R188" s="117"/>
      <c r="S188" s="4"/>
    </row>
    <row r="189" spans="18:19" ht="15.75" hidden="1">
      <c r="R189" s="117"/>
      <c r="S189" s="4"/>
    </row>
    <row r="190" spans="18:19" ht="15.75" hidden="1">
      <c r="R190" s="117"/>
      <c r="S190" s="4"/>
    </row>
    <row r="191" spans="18:19" ht="15.75" hidden="1">
      <c r="R191" s="117"/>
      <c r="S191" s="4"/>
    </row>
    <row r="192" spans="18:19" ht="15.75" hidden="1">
      <c r="R192" s="117"/>
      <c r="S192" s="4"/>
    </row>
    <row r="193" spans="18:19" ht="15.75" hidden="1">
      <c r="R193" s="117"/>
      <c r="S193" s="4"/>
    </row>
    <row r="194" spans="18:19" ht="15.75" hidden="1">
      <c r="R194" s="117"/>
      <c r="S194" s="4"/>
    </row>
    <row r="195" spans="18:19" ht="15.75" hidden="1">
      <c r="R195" s="117"/>
      <c r="S195" s="4"/>
    </row>
    <row r="196" spans="18:19" ht="15.75" hidden="1">
      <c r="R196" s="117"/>
      <c r="S196" s="4"/>
    </row>
    <row r="197" spans="18:19" ht="15.75" hidden="1">
      <c r="R197" s="117"/>
      <c r="S197" s="4"/>
    </row>
    <row r="198" spans="18:19" ht="15.75" hidden="1">
      <c r="R198" s="117"/>
      <c r="S198" s="4"/>
    </row>
    <row r="199" spans="18:19" ht="15.75" hidden="1">
      <c r="R199" s="117"/>
      <c r="S199" s="4"/>
    </row>
    <row r="200" spans="18:19" ht="15.75" hidden="1">
      <c r="R200" s="117"/>
      <c r="S200" s="4"/>
    </row>
    <row r="201" spans="18:19" ht="15.75" hidden="1">
      <c r="R201" s="117"/>
      <c r="S201" s="4"/>
    </row>
    <row r="202" spans="18:19" ht="15.75" hidden="1">
      <c r="R202" s="117"/>
      <c r="S202" s="4"/>
    </row>
    <row r="203" spans="18:19" ht="15.75" hidden="1">
      <c r="R203" s="117"/>
      <c r="S203" s="4"/>
    </row>
    <row r="204" spans="18:19" ht="15.75" hidden="1">
      <c r="R204" s="117"/>
      <c r="S204" s="4"/>
    </row>
    <row r="205" spans="18:19" ht="15.75" hidden="1">
      <c r="R205" s="117"/>
      <c r="S205" s="4"/>
    </row>
    <row r="206" spans="18:19" ht="15.75" hidden="1">
      <c r="R206" s="117"/>
      <c r="S206" s="4"/>
    </row>
    <row r="207" spans="18:19" ht="15.75" hidden="1">
      <c r="R207" s="117"/>
      <c r="S207" s="4"/>
    </row>
    <row r="208" spans="18:19" ht="15.75" hidden="1">
      <c r="R208" s="117"/>
      <c r="S208" s="4"/>
    </row>
    <row r="209" spans="18:19" ht="15.75" hidden="1">
      <c r="R209" s="117"/>
      <c r="S209" s="4"/>
    </row>
    <row r="210" spans="18:19" ht="15.75" hidden="1">
      <c r="R210" s="117"/>
      <c r="S210" s="4"/>
    </row>
    <row r="211" spans="18:19" ht="15.75" hidden="1">
      <c r="R211" s="117"/>
      <c r="S211" s="4"/>
    </row>
    <row r="212" spans="18:19" ht="15.75" hidden="1">
      <c r="R212" s="117"/>
      <c r="S212" s="4"/>
    </row>
    <row r="213" spans="18:19" ht="15.75" hidden="1">
      <c r="R213" s="117"/>
      <c r="S213" s="4"/>
    </row>
    <row r="214" spans="18:19" ht="15.75" hidden="1">
      <c r="R214" s="117"/>
      <c r="S214" s="4"/>
    </row>
    <row r="215" spans="18:19" ht="15.75" hidden="1">
      <c r="R215" s="117"/>
      <c r="S215" s="4"/>
    </row>
    <row r="216" spans="18:19" ht="15.75" hidden="1">
      <c r="R216" s="117"/>
      <c r="S216" s="4"/>
    </row>
    <row r="217" spans="18:19" ht="15.75" hidden="1">
      <c r="R217" s="117"/>
      <c r="S217" s="4"/>
    </row>
    <row r="218" spans="18:19" ht="15.75" hidden="1">
      <c r="R218" s="117"/>
      <c r="S218" s="4"/>
    </row>
    <row r="219" spans="18:19" ht="15.75" hidden="1">
      <c r="R219" s="117"/>
      <c r="S219" s="4"/>
    </row>
    <row r="220" spans="18:19" ht="15.75" hidden="1">
      <c r="R220" s="117"/>
      <c r="S220" s="4"/>
    </row>
    <row r="221" spans="18:19" ht="15.75" hidden="1">
      <c r="R221" s="117"/>
      <c r="S221" s="4"/>
    </row>
    <row r="222" spans="18:19" ht="15.75" hidden="1">
      <c r="R222" s="117"/>
      <c r="S222" s="4"/>
    </row>
    <row r="223" spans="18:19" ht="15.75" hidden="1">
      <c r="R223" s="117"/>
      <c r="S223" s="4"/>
    </row>
    <row r="224" ht="15.75" hidden="1">
      <c r="S224" s="4"/>
    </row>
    <row r="225" ht="15.75" hidden="1">
      <c r="S225" s="4"/>
    </row>
    <row r="226" ht="15.75" hidden="1">
      <c r="S226" s="4"/>
    </row>
    <row r="227" ht="15.75" hidden="1">
      <c r="S227" s="4"/>
    </row>
    <row r="228" ht="15.75" hidden="1">
      <c r="S228" s="4"/>
    </row>
    <row r="229" ht="15.75" hidden="1">
      <c r="S229" s="4"/>
    </row>
    <row r="230" ht="15.75" hidden="1">
      <c r="S230" s="4"/>
    </row>
    <row r="231" ht="15.75" hidden="1">
      <c r="S231" s="4"/>
    </row>
    <row r="232" ht="15.75" hidden="1">
      <c r="S232" s="4"/>
    </row>
    <row r="233" ht="15.75" hidden="1">
      <c r="S233" s="4"/>
    </row>
    <row r="234" ht="15.75" hidden="1">
      <c r="S234" s="4"/>
    </row>
    <row r="235" ht="15.75" hidden="1">
      <c r="S235" s="4"/>
    </row>
    <row r="236" ht="15.75" hidden="1">
      <c r="S236" s="4"/>
    </row>
    <row r="237" ht="15.75" hidden="1">
      <c r="S237" s="4"/>
    </row>
    <row r="238" ht="15.75" hidden="1">
      <c r="S238" s="4"/>
    </row>
    <row r="239" ht="15.75" hidden="1">
      <c r="S239" s="4"/>
    </row>
    <row r="240" ht="15.75" hidden="1">
      <c r="S240" s="4"/>
    </row>
    <row r="241" ht="15.75" hidden="1">
      <c r="S241" s="4"/>
    </row>
    <row r="242" ht="15.75" hidden="1">
      <c r="S242" s="4"/>
    </row>
    <row r="243" ht="15.75" hidden="1">
      <c r="S243" s="4"/>
    </row>
    <row r="244" ht="15.75" hidden="1">
      <c r="S244" s="4"/>
    </row>
    <row r="245" ht="15.75">
      <c r="S245" s="4"/>
    </row>
    <row r="246" ht="15.75">
      <c r="S246" s="4"/>
    </row>
    <row r="247" ht="15.75">
      <c r="S247" s="4"/>
    </row>
    <row r="248" ht="15.75">
      <c r="S248" s="4"/>
    </row>
    <row r="249" ht="15.75">
      <c r="S249" s="4"/>
    </row>
    <row r="250" ht="15.75">
      <c r="S250" s="4"/>
    </row>
    <row r="251" ht="15.75">
      <c r="S251" s="4"/>
    </row>
    <row r="252" ht="15.75">
      <c r="S252" s="4"/>
    </row>
    <row r="253" ht="15.75">
      <c r="S253" s="4"/>
    </row>
    <row r="254" ht="15.75">
      <c r="S254" s="4"/>
    </row>
    <row r="255" ht="15.75">
      <c r="S255" s="4"/>
    </row>
    <row r="256" ht="15.75">
      <c r="S256" s="4"/>
    </row>
    <row r="257" ht="15.75">
      <c r="S257" s="4"/>
    </row>
    <row r="258" ht="15.75">
      <c r="S258" s="4"/>
    </row>
    <row r="259" ht="15.75">
      <c r="S259" s="4"/>
    </row>
    <row r="260" ht="15.75">
      <c r="S260" s="4"/>
    </row>
    <row r="261" ht="15.75">
      <c r="S261" s="4"/>
    </row>
    <row r="262" ht="15.75">
      <c r="S262" s="4"/>
    </row>
    <row r="263" ht="15.75">
      <c r="S263" s="4"/>
    </row>
    <row r="264" ht="15.75">
      <c r="S264" s="4"/>
    </row>
    <row r="265" ht="15.75">
      <c r="S265" s="4"/>
    </row>
    <row r="266" ht="15.75">
      <c r="S266" s="4"/>
    </row>
    <row r="267" ht="15.75">
      <c r="S267" s="4"/>
    </row>
    <row r="268" ht="15.75">
      <c r="S268" s="4"/>
    </row>
    <row r="269" ht="15.75">
      <c r="S269" s="4"/>
    </row>
    <row r="270" ht="15.75">
      <c r="S270" s="4"/>
    </row>
    <row r="271" ht="15.75">
      <c r="S271" s="4"/>
    </row>
    <row r="272" ht="15.75">
      <c r="S272" s="4"/>
    </row>
    <row r="273" ht="15.75">
      <c r="S273" s="4"/>
    </row>
    <row r="274" ht="15.75">
      <c r="S274" s="4"/>
    </row>
    <row r="275" ht="15.75">
      <c r="S275" s="4"/>
    </row>
    <row r="276" ht="15.75">
      <c r="S276" s="4"/>
    </row>
    <row r="277" ht="15.75">
      <c r="S277" s="4"/>
    </row>
    <row r="278" ht="15.75">
      <c r="S278" s="4"/>
    </row>
    <row r="279" ht="15.75">
      <c r="S279" s="4"/>
    </row>
    <row r="280" ht="15.75">
      <c r="S280" s="4"/>
    </row>
    <row r="281" ht="15.75">
      <c r="S281" s="4"/>
    </row>
    <row r="282" ht="15.75">
      <c r="S282" s="4"/>
    </row>
    <row r="283" ht="15.75">
      <c r="S283" s="4"/>
    </row>
    <row r="284" ht="15.75">
      <c r="S284" s="4"/>
    </row>
    <row r="285" ht="15.75">
      <c r="S285" s="4"/>
    </row>
    <row r="286" ht="15.75">
      <c r="S286" s="4"/>
    </row>
    <row r="287" ht="15.75">
      <c r="S287" s="4"/>
    </row>
    <row r="288" ht="15.75">
      <c r="S288" s="4"/>
    </row>
    <row r="289" ht="15.75">
      <c r="S289" s="4"/>
    </row>
    <row r="290" ht="15.75">
      <c r="S290" s="4"/>
    </row>
    <row r="291" ht="15.75">
      <c r="S291" s="4"/>
    </row>
    <row r="292" ht="15.75">
      <c r="S292" s="4"/>
    </row>
    <row r="293" ht="15.75">
      <c r="S293" s="4"/>
    </row>
    <row r="294" ht="15.75">
      <c r="S294" s="4"/>
    </row>
    <row r="295" ht="15.75">
      <c r="S295" s="4"/>
    </row>
    <row r="296" ht="15.75">
      <c r="S296" s="4"/>
    </row>
    <row r="297" ht="15.75">
      <c r="S297" s="4"/>
    </row>
    <row r="298" ht="15.75">
      <c r="S298" s="4"/>
    </row>
    <row r="299" ht="15.75">
      <c r="S299" s="4"/>
    </row>
    <row r="300" ht="15.75">
      <c r="S300" s="4"/>
    </row>
    <row r="301" ht="15.75">
      <c r="S301" s="4"/>
    </row>
    <row r="302" ht="15.75">
      <c r="S302" s="4"/>
    </row>
    <row r="303" ht="15.75">
      <c r="S303" s="4"/>
    </row>
    <row r="304" ht="15.75">
      <c r="S304" s="4"/>
    </row>
    <row r="305" ht="15.75">
      <c r="S305" s="4"/>
    </row>
    <row r="306" ht="15.75">
      <c r="S306" s="4"/>
    </row>
    <row r="307" ht="15.75">
      <c r="S307" s="4"/>
    </row>
    <row r="308" ht="15.75">
      <c r="S308" s="4"/>
    </row>
    <row r="309" ht="15.75">
      <c r="S309" s="4"/>
    </row>
    <row r="310" ht="15.75">
      <c r="S310" s="4"/>
    </row>
    <row r="311" ht="15.75">
      <c r="S311" s="4"/>
    </row>
    <row r="312" ht="15.75">
      <c r="S312" s="4"/>
    </row>
    <row r="313" ht="15.75">
      <c r="S313" s="4"/>
    </row>
    <row r="314" ht="15.75">
      <c r="S314" s="4"/>
    </row>
    <row r="315" ht="15.75">
      <c r="S315" s="4"/>
    </row>
    <row r="316" ht="15.75">
      <c r="S316" s="4"/>
    </row>
    <row r="317" ht="15.75">
      <c r="S317" s="4"/>
    </row>
    <row r="318" ht="15.75">
      <c r="S318" s="4"/>
    </row>
    <row r="319" ht="15.75">
      <c r="S319" s="4"/>
    </row>
    <row r="320" ht="15.75">
      <c r="S320" s="4"/>
    </row>
    <row r="321" ht="15.75">
      <c r="S321" s="4"/>
    </row>
    <row r="322" ht="15.75">
      <c r="S322" s="4"/>
    </row>
    <row r="323" ht="15.75">
      <c r="S323" s="4"/>
    </row>
    <row r="324" ht="15.75">
      <c r="S324" s="4"/>
    </row>
    <row r="325" ht="15.75">
      <c r="S325" s="4"/>
    </row>
    <row r="326" ht="15.75">
      <c r="S326" s="4"/>
    </row>
    <row r="327" ht="15.75">
      <c r="S327" s="4"/>
    </row>
    <row r="328" ht="15.75">
      <c r="S328" s="4"/>
    </row>
    <row r="329" ht="15.75">
      <c r="S329" s="4"/>
    </row>
    <row r="330" ht="15.75">
      <c r="S330" s="4"/>
    </row>
    <row r="331" ht="15.75">
      <c r="S331" s="4"/>
    </row>
    <row r="332" ht="15.75">
      <c r="S332" s="4"/>
    </row>
    <row r="333" ht="15.75">
      <c r="S333" s="4"/>
    </row>
    <row r="334" ht="15.75">
      <c r="S334" s="4"/>
    </row>
    <row r="335" ht="15.75" hidden="1">
      <c r="S335" s="9" t="b">
        <f>FALSE</f>
        <v>0</v>
      </c>
    </row>
    <row r="592" ht="15.75">
      <c r="S592" s="9" t="b">
        <v>0</v>
      </c>
    </row>
    <row r="658" ht="15.75" hidden="1">
      <c r="S658" s="9" t="b">
        <f>FALSE</f>
        <v>0</v>
      </c>
    </row>
  </sheetData>
  <sheetProtection selectLockedCells="1" selectUnlockedCells="1"/>
  <protectedRanges>
    <protectedRange sqref="R13:AA13" name="Diapazonas4"/>
  </protectedRanges>
  <mergeCells count="112">
    <mergeCell ref="L55:O55"/>
    <mergeCell ref="L7:M7"/>
    <mergeCell ref="L8:M8"/>
    <mergeCell ref="L9:M9"/>
    <mergeCell ref="N1:O3"/>
    <mergeCell ref="A1:J1"/>
    <mergeCell ref="A2:J3"/>
    <mergeCell ref="E5:F5"/>
    <mergeCell ref="G5:J5"/>
    <mergeCell ref="B9:B10"/>
    <mergeCell ref="R9:R10"/>
    <mergeCell ref="D14:E14"/>
    <mergeCell ref="L13:O13"/>
    <mergeCell ref="L5:M5"/>
    <mergeCell ref="L6:M6"/>
    <mergeCell ref="G6:H6"/>
    <mergeCell ref="D9:E10"/>
    <mergeCell ref="F9:F10"/>
    <mergeCell ref="B18:B20"/>
    <mergeCell ref="C18:C20"/>
    <mergeCell ref="D18:E18"/>
    <mergeCell ref="B16:B17"/>
    <mergeCell ref="W9:W10"/>
    <mergeCell ref="U9:U10"/>
    <mergeCell ref="V9:V10"/>
    <mergeCell ref="I9:I10"/>
    <mergeCell ref="J9:J10"/>
    <mergeCell ref="C9:C10"/>
    <mergeCell ref="C16:C17"/>
    <mergeCell ref="L11:O12"/>
    <mergeCell ref="D12:E12"/>
    <mergeCell ref="D13:E13"/>
    <mergeCell ref="X9:X10"/>
    <mergeCell ref="Y9:Y10"/>
    <mergeCell ref="S9:S10"/>
    <mergeCell ref="T9:T10"/>
    <mergeCell ref="G9:H9"/>
    <mergeCell ref="L14:O14"/>
    <mergeCell ref="L18:O20"/>
    <mergeCell ref="D19:E19"/>
    <mergeCell ref="D20:E20"/>
    <mergeCell ref="Z9:Z10"/>
    <mergeCell ref="AA9:AA10"/>
    <mergeCell ref="A11:A29"/>
    <mergeCell ref="B11:B12"/>
    <mergeCell ref="C11:C12"/>
    <mergeCell ref="D11:E11"/>
    <mergeCell ref="D15:E15"/>
    <mergeCell ref="L21:O27"/>
    <mergeCell ref="D25:E25"/>
    <mergeCell ref="D27:E27"/>
    <mergeCell ref="D21:E21"/>
    <mergeCell ref="D22:E22"/>
    <mergeCell ref="I15:J15"/>
    <mergeCell ref="L15:O15"/>
    <mergeCell ref="L16:O17"/>
    <mergeCell ref="D17:E17"/>
    <mergeCell ref="D16:E16"/>
    <mergeCell ref="A65:J65"/>
    <mergeCell ref="D52:E52"/>
    <mergeCell ref="G62:J62"/>
    <mergeCell ref="G63:J63"/>
    <mergeCell ref="D54:E54"/>
    <mergeCell ref="D53:E53"/>
    <mergeCell ref="C56:E56"/>
    <mergeCell ref="D55:E55"/>
    <mergeCell ref="C45:E45"/>
    <mergeCell ref="I37:J37"/>
    <mergeCell ref="B43:I43"/>
    <mergeCell ref="C44:E44"/>
    <mergeCell ref="C28:C29"/>
    <mergeCell ref="D28:E28"/>
    <mergeCell ref="B31:J31"/>
    <mergeCell ref="D34:E34"/>
    <mergeCell ref="D37:E37"/>
    <mergeCell ref="D32:E32"/>
    <mergeCell ref="L54:O54"/>
    <mergeCell ref="L53:O53"/>
    <mergeCell ref="L51:O51"/>
    <mergeCell ref="L50:O50"/>
    <mergeCell ref="C46:E46"/>
    <mergeCell ref="D50:E50"/>
    <mergeCell ref="B49:I49"/>
    <mergeCell ref="L52:O52"/>
    <mergeCell ref="D51:E51"/>
    <mergeCell ref="C47:E47"/>
    <mergeCell ref="B36:J36"/>
    <mergeCell ref="B32:B34"/>
    <mergeCell ref="B21:B27"/>
    <mergeCell ref="B28:B29"/>
    <mergeCell ref="D40:E40"/>
    <mergeCell ref="B37:B41"/>
    <mergeCell ref="I41:J41"/>
    <mergeCell ref="D41:E41"/>
    <mergeCell ref="D23:E23"/>
    <mergeCell ref="L37:O39"/>
    <mergeCell ref="D38:E38"/>
    <mergeCell ref="I38:J38"/>
    <mergeCell ref="D39:E39"/>
    <mergeCell ref="I39:J39"/>
    <mergeCell ref="C21:C27"/>
    <mergeCell ref="D24:E24"/>
    <mergeCell ref="D26:E26"/>
    <mergeCell ref="C37:C41"/>
    <mergeCell ref="I40:J40"/>
    <mergeCell ref="W32:W33"/>
    <mergeCell ref="D33:E33"/>
    <mergeCell ref="L28:O29"/>
    <mergeCell ref="D29:E29"/>
    <mergeCell ref="L32:O33"/>
    <mergeCell ref="C32:C34"/>
    <mergeCell ref="L34:O35"/>
  </mergeCells>
  <conditionalFormatting sqref="N5">
    <cfRule type="cellIs" priority="20" dxfId="58" operator="lessThan" stopIfTrue="1">
      <formula>8</formula>
    </cfRule>
  </conditionalFormatting>
  <conditionalFormatting sqref="N6:N9">
    <cfRule type="cellIs" priority="23" dxfId="58" operator="notBetween" stopIfTrue="1">
      <formula>28</formula>
      <formula>35</formula>
    </cfRule>
  </conditionalFormatting>
  <conditionalFormatting sqref="C46:E46 C47">
    <cfRule type="expression" priority="29" dxfId="0" stopIfTrue="1">
      <formula>$U$46=1</formula>
    </cfRule>
  </conditionalFormatting>
  <conditionalFormatting sqref="Q29 Q21:Q27">
    <cfRule type="cellIs" priority="33" dxfId="60" operator="equal" stopIfTrue="1">
      <formula>"Privaloma pasirinkti vieną menų arba technologijų dalyką"</formula>
    </cfRule>
  </conditionalFormatting>
  <conditionalFormatting sqref="D30:E30 D35:E35">
    <cfRule type="expression" priority="34" dxfId="0" stopIfTrue="1">
      <formula>Anketa!#REF!*Anketa!#REF!=1</formula>
    </cfRule>
  </conditionalFormatting>
  <conditionalFormatting sqref="D38:E38">
    <cfRule type="expression" priority="35" dxfId="0" stopIfTrue="1">
      <formula>$U$38*$V$38=1</formula>
    </cfRule>
  </conditionalFormatting>
  <conditionalFormatting sqref="D39">
    <cfRule type="expression" priority="36" dxfId="0" stopIfTrue="1">
      <formula>$U$39*$V$39=1</formula>
    </cfRule>
  </conditionalFormatting>
  <conditionalFormatting sqref="D37:E37">
    <cfRule type="expression" priority="37" dxfId="0" stopIfTrue="1">
      <formula>$U$37*$V$37=1</formula>
    </cfRule>
  </conditionalFormatting>
  <conditionalFormatting sqref="L28:P29">
    <cfRule type="cellIs" priority="41" dxfId="60" operator="equal" stopIfTrue="1">
      <formula>"Privaloma pasirinkti vieną kūno kultūros dalyką"</formula>
    </cfRule>
  </conditionalFormatting>
  <conditionalFormatting sqref="C28:C29">
    <cfRule type="expression" priority="42" dxfId="14" stopIfTrue="1">
      <formula>$V$28=0</formula>
    </cfRule>
  </conditionalFormatting>
  <conditionalFormatting sqref="D28:E28">
    <cfRule type="expression" priority="43" dxfId="0" stopIfTrue="1">
      <formula>$U$28*$V$28=1</formula>
    </cfRule>
  </conditionalFormatting>
  <conditionalFormatting sqref="D29:E29">
    <cfRule type="expression" priority="44" dxfId="0" stopIfTrue="1">
      <formula>$U$29*$V$29=1</formula>
    </cfRule>
  </conditionalFormatting>
  <conditionalFormatting sqref="D27:E27">
    <cfRule type="expression" priority="46" dxfId="0" stopIfTrue="1">
      <formula>$U$27*$V$27=1</formula>
    </cfRule>
  </conditionalFormatting>
  <conditionalFormatting sqref="D25:E25">
    <cfRule type="expression" priority="47" dxfId="0" stopIfTrue="1">
      <formula>$U$25*$V$25=1</formula>
    </cfRule>
  </conditionalFormatting>
  <conditionalFormatting sqref="D24:E24">
    <cfRule type="expression" priority="49" dxfId="0" stopIfTrue="1">
      <formula>$U$24*$V$24=1</formula>
    </cfRule>
  </conditionalFormatting>
  <conditionalFormatting sqref="D23:E23">
    <cfRule type="expression" priority="50" dxfId="0" stopIfTrue="1">
      <formula>$U$23*$V$23=1</formula>
    </cfRule>
  </conditionalFormatting>
  <conditionalFormatting sqref="Q18:Q20">
    <cfRule type="cellIs" priority="51" dxfId="60" operator="equal" stopIfTrue="1">
      <formula>"Privaloma pasirinkti bent vieną iš gamtos mokslų"</formula>
    </cfRule>
  </conditionalFormatting>
  <conditionalFormatting sqref="D17:F17">
    <cfRule type="expression" priority="52" dxfId="0" stopIfTrue="1">
      <formula>$U$17=1</formula>
    </cfRule>
  </conditionalFormatting>
  <conditionalFormatting sqref="D16 F16">
    <cfRule type="expression" priority="54" dxfId="0" stopIfTrue="1">
      <formula>$U$16=1</formula>
    </cfRule>
  </conditionalFormatting>
  <conditionalFormatting sqref="Q16:Q17">
    <cfRule type="cellIs" priority="55" dxfId="60" operator="equal" stopIfTrue="1">
      <formula>"Privaloma pasirinkti bent vieną iš socialinių mokslų"</formula>
    </cfRule>
  </conditionalFormatting>
  <conditionalFormatting sqref="Q15">
    <cfRule type="cellIs" priority="56" dxfId="60" operator="equal" stopIfTrue="1">
      <formula>"Privaloma pasirinkti pirmąją užsienio kalbą"</formula>
    </cfRule>
  </conditionalFormatting>
  <conditionalFormatting sqref="D13:F13 F14">
    <cfRule type="expression" priority="57" dxfId="0" stopIfTrue="1">
      <formula>$U$13=1</formula>
    </cfRule>
  </conditionalFormatting>
  <conditionalFormatting sqref="Q13:Q14">
    <cfRule type="cellIs" priority="58" dxfId="60" operator="equal" stopIfTrue="1">
      <formula>"Privaloma pasirinkti lietuvių k. A arba B kursą"</formula>
    </cfRule>
  </conditionalFormatting>
  <conditionalFormatting sqref="C18">
    <cfRule type="expression" priority="59" dxfId="14" stopIfTrue="1">
      <formula>$V$18=0</formula>
    </cfRule>
  </conditionalFormatting>
  <conditionalFormatting sqref="D21:E21">
    <cfRule type="expression" priority="60" dxfId="0" stopIfTrue="1">
      <formula>$U$21*$V$21=1</formula>
    </cfRule>
  </conditionalFormatting>
  <conditionalFormatting sqref="D22:E22">
    <cfRule type="expression" priority="63" dxfId="0" stopIfTrue="1">
      <formula>$U$22*$V$22=1</formula>
    </cfRule>
  </conditionalFormatting>
  <conditionalFormatting sqref="C13">
    <cfRule type="expression" priority="64" dxfId="28" stopIfTrue="1">
      <formula>$U$13=0</formula>
    </cfRule>
  </conditionalFormatting>
  <conditionalFormatting sqref="C15">
    <cfRule type="expression" priority="65" dxfId="28" stopIfTrue="1">
      <formula>$U$15=0</formula>
    </cfRule>
  </conditionalFormatting>
  <conditionalFormatting sqref="C16:C17">
    <cfRule type="expression" priority="66" dxfId="14" stopIfTrue="1">
      <formula>$V$16=0</formula>
    </cfRule>
  </conditionalFormatting>
  <conditionalFormatting sqref="L11 P11:Q12">
    <cfRule type="cellIs" priority="69" dxfId="60" operator="equal" stopIfTrue="1">
      <formula>"Privaloma pasirinkti vieną dorinio ugdymo dalyką"</formula>
    </cfRule>
  </conditionalFormatting>
  <conditionalFormatting sqref="D11:E11">
    <cfRule type="expression" priority="70" dxfId="27" stopIfTrue="1">
      <formula>$U$11=1</formula>
    </cfRule>
  </conditionalFormatting>
  <conditionalFormatting sqref="C11:C12">
    <cfRule type="expression" priority="71" dxfId="28" stopIfTrue="1">
      <formula>$V$11=0</formula>
    </cfRule>
  </conditionalFormatting>
  <conditionalFormatting sqref="D12:E12">
    <cfRule type="expression" priority="72" dxfId="27" stopIfTrue="1">
      <formula>$U$12=1</formula>
    </cfRule>
  </conditionalFormatting>
  <conditionalFormatting sqref="C21">
    <cfRule type="expression" priority="73" dxfId="14" stopIfTrue="1">
      <formula>$V$21=0</formula>
    </cfRule>
  </conditionalFormatting>
  <conditionalFormatting sqref="D15:E15">
    <cfRule type="expression" priority="74" dxfId="0" stopIfTrue="1">
      <formula>$U$15=1</formula>
    </cfRule>
  </conditionalFormatting>
  <conditionalFormatting sqref="D18:E18">
    <cfRule type="expression" priority="79" dxfId="0" stopIfTrue="1">
      <formula>$U$18=1</formula>
    </cfRule>
  </conditionalFormatting>
  <conditionalFormatting sqref="D19:E19">
    <cfRule type="expression" priority="80" dxfId="0" stopIfTrue="1">
      <formula>$U$19=1</formula>
    </cfRule>
  </conditionalFormatting>
  <conditionalFormatting sqref="D20:E20">
    <cfRule type="expression" priority="81" dxfId="0" stopIfTrue="1">
      <formula>$U$20=1</formula>
    </cfRule>
  </conditionalFormatting>
  <conditionalFormatting sqref="C44:E44">
    <cfRule type="expression" priority="84" dxfId="0" stopIfTrue="1">
      <formula>$U$44=1</formula>
    </cfRule>
  </conditionalFormatting>
  <conditionalFormatting sqref="C45:E45">
    <cfRule type="expression" priority="85" dxfId="0" stopIfTrue="1">
      <formula>$U$45=1</formula>
    </cfRule>
  </conditionalFormatting>
  <conditionalFormatting sqref="L15:P15">
    <cfRule type="cellIs" priority="89" dxfId="60" operator="equal" stopIfTrue="1">
      <formula>"Privaloma pasirinkti užsienio kalbą"</formula>
    </cfRule>
  </conditionalFormatting>
  <conditionalFormatting sqref="L16:P17">
    <cfRule type="cellIs" priority="90" dxfId="60" operator="equal" stopIfTrue="1">
      <formula>"Privaloma pasirinkti bent vieną socialinio ugdymo dalyką"</formula>
    </cfRule>
  </conditionalFormatting>
  <conditionalFormatting sqref="L18:P20">
    <cfRule type="cellIs" priority="92" dxfId="60" operator="equal" stopIfTrue="1">
      <formula>"Privaloma pasirinkti bent vieną gamtamokslinio ugdymo dalyką"</formula>
    </cfRule>
  </conditionalFormatting>
  <conditionalFormatting sqref="L21:P27">
    <cfRule type="cellIs" priority="93" dxfId="60" operator="equal" stopIfTrue="1">
      <formula>"Privaloma pasirinkti vieną menų ar technologijų dalyką"</formula>
    </cfRule>
  </conditionalFormatting>
  <conditionalFormatting sqref="Q32:Q34">
    <cfRule type="cellIs" priority="14" dxfId="60" operator="equal" stopIfTrue="1">
      <formula>"Privaloma pasirinkti matematikos A arba B kursą"</formula>
    </cfRule>
  </conditionalFormatting>
  <conditionalFormatting sqref="C32">
    <cfRule type="expression" priority="15" dxfId="14" stopIfTrue="1">
      <formula>Anketa!#REF!=0</formula>
    </cfRule>
  </conditionalFormatting>
  <conditionalFormatting sqref="L32:P35">
    <cfRule type="cellIs" priority="18" dxfId="61" operator="equal" stopIfTrue="1">
      <formula>"Galima pasirinkti informacinių technologijų A arba B kursą"</formula>
    </cfRule>
  </conditionalFormatting>
  <conditionalFormatting sqref="D32:E32">
    <cfRule type="expression" priority="148" dxfId="0" stopIfTrue="1">
      <formula>$U$32*$V$32=1</formula>
    </cfRule>
  </conditionalFormatting>
  <conditionalFormatting sqref="L13 P13">
    <cfRule type="cellIs" priority="149" dxfId="62" operator="equal" stopIfTrue="1">
      <formula>"Privaloma pasirinkti gimtąją kalbą"</formula>
    </cfRule>
  </conditionalFormatting>
  <conditionalFormatting sqref="D33:E33">
    <cfRule type="expression" priority="150" dxfId="0" stopIfTrue="1">
      <formula>$U$33*$V$33=1</formula>
    </cfRule>
  </conditionalFormatting>
  <conditionalFormatting sqref="L14:P14">
    <cfRule type="cellIs" priority="11" dxfId="60" operator="equal" stopIfTrue="1">
      <formula>"Privaloma pasirinkti matematiką"</formula>
    </cfRule>
  </conditionalFormatting>
  <conditionalFormatting sqref="D14:E14">
    <cfRule type="expression" priority="9" dxfId="0" stopIfTrue="1">
      <formula>$U$14=1</formula>
    </cfRule>
    <cfRule type="expression" priority="153" dxfId="0" stopIfTrue="1">
      <formula>Anketa!#REF!=1</formula>
    </cfRule>
  </conditionalFormatting>
  <conditionalFormatting sqref="C14">
    <cfRule type="expression" priority="10" dxfId="6" stopIfTrue="1">
      <formula>$U$14=0</formula>
    </cfRule>
  </conditionalFormatting>
  <conditionalFormatting sqref="D34">
    <cfRule type="expression" priority="8" dxfId="0" stopIfTrue="1">
      <formula>$U$34*$V$34=1</formula>
    </cfRule>
  </conditionalFormatting>
  <conditionalFormatting sqref="D26:E26">
    <cfRule type="expression" priority="7" dxfId="0" stopIfTrue="1">
      <formula>$U$26*$V$26=1</formula>
    </cfRule>
  </conditionalFormatting>
  <conditionalFormatting sqref="R40">
    <cfRule type="expression" priority="4" dxfId="0" stopIfTrue="1">
      <formula>$U$37*$V$37=1</formula>
    </cfRule>
  </conditionalFormatting>
  <conditionalFormatting sqref="R41">
    <cfRule type="expression" priority="3" dxfId="0" stopIfTrue="1">
      <formula>$U$39*$V$39=1</formula>
    </cfRule>
  </conditionalFormatting>
  <conditionalFormatting sqref="D40:E40">
    <cfRule type="expression" priority="2" dxfId="0" stopIfTrue="1">
      <formula>$U$40*$V$40=1</formula>
    </cfRule>
  </conditionalFormatting>
  <conditionalFormatting sqref="D41:E41">
    <cfRule type="expression" priority="1" dxfId="0" stopIfTrue="1">
      <formula>$U$41*$V$41=1</formula>
    </cfRule>
  </conditionalFormatting>
  <printOptions/>
  <pageMargins left="0.3937007874015748" right="0" top="0.1968503937007874" bottom="0.1968503937007874" header="0.5118110236220472" footer="0.5118110236220472"/>
  <pageSetup fitToWidth="0" fitToHeight="1" horizontalDpi="600" verticalDpi="600" orientation="portrait" paperSize="9" scale="77" r:id="rId2"/>
  <rowBreaks count="1" manualBreakCount="1">
    <brk id="4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W4"/>
  <sheetViews>
    <sheetView view="pageBreakPreview" zoomScaleSheetLayoutView="100" zoomScalePageLayoutView="0" workbookViewId="0" topLeftCell="A1">
      <selection activeCell="BW4" sqref="BW4"/>
    </sheetView>
  </sheetViews>
  <sheetFormatPr defaultColWidth="9.140625" defaultRowHeight="12.75"/>
  <cols>
    <col min="1" max="1" width="6.140625" style="137" customWidth="1"/>
    <col min="2" max="2" width="19.140625" style="137" customWidth="1"/>
    <col min="3" max="3" width="3.28125" style="137" customWidth="1"/>
    <col min="4" max="5" width="4.28125" style="137" customWidth="1"/>
    <col min="6" max="13" width="3.00390625" style="137" customWidth="1"/>
    <col min="14" max="14" width="3.00390625" style="138" customWidth="1"/>
    <col min="15" max="37" width="3.00390625" style="137" customWidth="1"/>
    <col min="38" max="40" width="4.7109375" style="137" customWidth="1"/>
    <col min="41" max="41" width="3.140625" style="137" customWidth="1"/>
    <col min="42" max="43" width="3.8515625" style="137" customWidth="1"/>
    <col min="44" max="47" width="3.00390625" style="137" customWidth="1"/>
    <col min="48" max="48" width="3.421875" style="137" customWidth="1"/>
    <col min="49" max="52" width="4.7109375" style="137" customWidth="1"/>
    <col min="53" max="53" width="3.57421875" style="137" customWidth="1"/>
    <col min="54" max="54" width="3.57421875" style="139" customWidth="1"/>
    <col min="55" max="59" width="3.57421875" style="137" customWidth="1"/>
    <col min="60" max="62" width="4.57421875" style="137" customWidth="1"/>
    <col min="63" max="72" width="4.28125" style="137" customWidth="1"/>
    <col min="73" max="16384" width="9.140625" style="137" customWidth="1"/>
  </cols>
  <sheetData>
    <row r="1" spans="1:75" ht="13.5" customHeight="1">
      <c r="A1" s="406" t="s">
        <v>5</v>
      </c>
      <c r="B1" s="395" t="s">
        <v>71</v>
      </c>
      <c r="C1" s="395" t="s">
        <v>72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140"/>
      <c r="BJ1" s="140"/>
      <c r="BK1" s="395"/>
      <c r="BL1" s="395"/>
      <c r="BM1" s="395"/>
      <c r="BN1" s="395"/>
      <c r="BO1" s="395"/>
      <c r="BP1" s="395"/>
      <c r="BQ1" s="395"/>
      <c r="BR1" s="395"/>
      <c r="BS1" s="140"/>
      <c r="BT1" s="140"/>
      <c r="BU1" s="395" t="s">
        <v>73</v>
      </c>
      <c r="BV1" s="400" t="s">
        <v>74</v>
      </c>
      <c r="BW1" s="402" t="s">
        <v>75</v>
      </c>
    </row>
    <row r="2" spans="1:75" ht="57.75" customHeight="1">
      <c r="A2" s="406"/>
      <c r="B2" s="395"/>
      <c r="C2" s="395" t="s">
        <v>23</v>
      </c>
      <c r="D2" s="395"/>
      <c r="E2" s="140"/>
      <c r="F2" s="399" t="s">
        <v>76</v>
      </c>
      <c r="G2" s="399" t="s">
        <v>77</v>
      </c>
      <c r="H2" s="399" t="s">
        <v>78</v>
      </c>
      <c r="I2" s="395" t="s">
        <v>79</v>
      </c>
      <c r="J2" s="395"/>
      <c r="K2" s="395"/>
      <c r="L2" s="395"/>
      <c r="M2" s="395"/>
      <c r="N2" s="395"/>
      <c r="O2" s="395" t="s">
        <v>31</v>
      </c>
      <c r="P2" s="395"/>
      <c r="Q2" s="395"/>
      <c r="R2" s="395"/>
      <c r="S2" s="395"/>
      <c r="T2" s="399" t="s">
        <v>80</v>
      </c>
      <c r="U2" s="399" t="s">
        <v>81</v>
      </c>
      <c r="V2" s="399" t="s">
        <v>82</v>
      </c>
      <c r="W2" s="395" t="s">
        <v>38</v>
      </c>
      <c r="X2" s="395"/>
      <c r="Y2" s="395"/>
      <c r="Z2" s="395"/>
      <c r="AA2" s="395"/>
      <c r="AB2" s="395"/>
      <c r="AC2" s="400" t="s">
        <v>83</v>
      </c>
      <c r="AD2" s="400"/>
      <c r="AE2" s="400"/>
      <c r="AF2" s="400"/>
      <c r="AG2" s="400"/>
      <c r="AH2" s="400"/>
      <c r="AI2" s="400"/>
      <c r="AJ2" s="400"/>
      <c r="AK2" s="401" t="s">
        <v>84</v>
      </c>
      <c r="AL2" s="401"/>
      <c r="AM2" s="401"/>
      <c r="AN2" s="401"/>
      <c r="AO2" s="401"/>
      <c r="AP2" s="395" t="s">
        <v>49</v>
      </c>
      <c r="AQ2" s="395"/>
      <c r="AR2" s="395" t="s">
        <v>85</v>
      </c>
      <c r="AS2" s="395"/>
      <c r="AT2" s="395"/>
      <c r="AU2" s="395"/>
      <c r="AV2" s="398" t="s">
        <v>86</v>
      </c>
      <c r="AW2" s="398" t="s">
        <v>87</v>
      </c>
      <c r="AX2" s="398" t="s">
        <v>88</v>
      </c>
      <c r="AY2" s="398" t="s">
        <v>89</v>
      </c>
      <c r="AZ2" s="141"/>
      <c r="BA2" s="396" t="s">
        <v>58</v>
      </c>
      <c r="BB2" s="397" t="s">
        <v>90</v>
      </c>
      <c r="BC2" s="396" t="s">
        <v>91</v>
      </c>
      <c r="BD2" s="396" t="s">
        <v>92</v>
      </c>
      <c r="BE2" s="396" t="s">
        <v>56</v>
      </c>
      <c r="BF2" s="396" t="s">
        <v>59</v>
      </c>
      <c r="BG2" s="396" t="s">
        <v>93</v>
      </c>
      <c r="BH2" s="396" t="s">
        <v>43</v>
      </c>
      <c r="BI2" s="143"/>
      <c r="BJ2" s="403" t="s">
        <v>94</v>
      </c>
      <c r="BK2" s="403"/>
      <c r="BL2" s="144" t="s">
        <v>34</v>
      </c>
      <c r="BM2" s="145" t="s">
        <v>39</v>
      </c>
      <c r="BN2" s="404" t="s">
        <v>40</v>
      </c>
      <c r="BO2" s="404"/>
      <c r="BP2" s="145" t="s">
        <v>41</v>
      </c>
      <c r="BQ2" s="405" t="s">
        <v>95</v>
      </c>
      <c r="BR2" s="405"/>
      <c r="BS2" s="396" t="s">
        <v>96</v>
      </c>
      <c r="BT2" s="396" t="s">
        <v>97</v>
      </c>
      <c r="BU2" s="395"/>
      <c r="BV2" s="400"/>
      <c r="BW2" s="402"/>
    </row>
    <row r="3" spans="1:75" s="138" customFormat="1" ht="116.25" customHeight="1">
      <c r="A3" s="406"/>
      <c r="B3" s="395"/>
      <c r="C3" s="142" t="s">
        <v>98</v>
      </c>
      <c r="D3" s="142" t="s">
        <v>26</v>
      </c>
      <c r="E3" s="142" t="s">
        <v>99</v>
      </c>
      <c r="F3" s="399"/>
      <c r="G3" s="399"/>
      <c r="H3" s="399"/>
      <c r="I3" s="142" t="s">
        <v>100</v>
      </c>
      <c r="J3" s="142" t="s">
        <v>101</v>
      </c>
      <c r="K3" s="142" t="s">
        <v>102</v>
      </c>
      <c r="L3" s="142" t="s">
        <v>103</v>
      </c>
      <c r="M3" s="142" t="s">
        <v>104</v>
      </c>
      <c r="N3" s="142" t="s">
        <v>105</v>
      </c>
      <c r="O3" s="142" t="s">
        <v>106</v>
      </c>
      <c r="P3" s="142" t="s">
        <v>107</v>
      </c>
      <c r="Q3" s="142" t="s">
        <v>108</v>
      </c>
      <c r="R3" s="142" t="s">
        <v>109</v>
      </c>
      <c r="S3" s="142" t="s">
        <v>110</v>
      </c>
      <c r="T3" s="399"/>
      <c r="U3" s="399"/>
      <c r="V3" s="399"/>
      <c r="W3" s="142" t="s">
        <v>111</v>
      </c>
      <c r="X3" s="142" t="s">
        <v>112</v>
      </c>
      <c r="Y3" s="142" t="s">
        <v>113</v>
      </c>
      <c r="Z3" s="142" t="s">
        <v>114</v>
      </c>
      <c r="AA3" s="142" t="s">
        <v>115</v>
      </c>
      <c r="AB3" s="142" t="s">
        <v>116</v>
      </c>
      <c r="AC3" s="142" t="s">
        <v>117</v>
      </c>
      <c r="AD3" s="142" t="s">
        <v>118</v>
      </c>
      <c r="AE3" s="142" t="s">
        <v>119</v>
      </c>
      <c r="AF3" s="142" t="s">
        <v>120</v>
      </c>
      <c r="AG3" s="142" t="s">
        <v>121</v>
      </c>
      <c r="AH3" s="142" t="s">
        <v>122</v>
      </c>
      <c r="AI3" s="142" t="s">
        <v>123</v>
      </c>
      <c r="AJ3" s="146" t="s">
        <v>124</v>
      </c>
      <c r="AK3" s="146" t="s">
        <v>125</v>
      </c>
      <c r="AL3" s="146" t="s">
        <v>126</v>
      </c>
      <c r="AM3" s="142" t="s">
        <v>127</v>
      </c>
      <c r="AN3" s="142" t="s">
        <v>128</v>
      </c>
      <c r="AO3" s="146" t="s">
        <v>129</v>
      </c>
      <c r="AP3" s="142" t="s">
        <v>130</v>
      </c>
      <c r="AQ3" s="142" t="s">
        <v>131</v>
      </c>
      <c r="AR3" s="142" t="s">
        <v>132</v>
      </c>
      <c r="AS3" s="142" t="s">
        <v>133</v>
      </c>
      <c r="AT3" s="142" t="s">
        <v>60</v>
      </c>
      <c r="AU3" s="142" t="s">
        <v>134</v>
      </c>
      <c r="AV3" s="398"/>
      <c r="AW3" s="398"/>
      <c r="AX3" s="398"/>
      <c r="AY3" s="398"/>
      <c r="AZ3" s="141" t="s">
        <v>135</v>
      </c>
      <c r="BA3" s="396"/>
      <c r="BB3" s="397"/>
      <c r="BC3" s="396"/>
      <c r="BD3" s="396"/>
      <c r="BE3" s="396"/>
      <c r="BF3" s="396"/>
      <c r="BG3" s="396"/>
      <c r="BH3" s="396"/>
      <c r="BI3" s="142" t="s">
        <v>136</v>
      </c>
      <c r="BJ3" s="142" t="s">
        <v>137</v>
      </c>
      <c r="BK3" s="146" t="s">
        <v>138</v>
      </c>
      <c r="BL3" s="146" t="s">
        <v>139</v>
      </c>
      <c r="BM3" s="142" t="s">
        <v>140</v>
      </c>
      <c r="BN3" s="142" t="s">
        <v>141</v>
      </c>
      <c r="BO3" s="147" t="s">
        <v>142</v>
      </c>
      <c r="BP3" s="142" t="s">
        <v>143</v>
      </c>
      <c r="BQ3" s="142" t="s">
        <v>144</v>
      </c>
      <c r="BR3" s="148" t="s">
        <v>145</v>
      </c>
      <c r="BS3" s="396"/>
      <c r="BT3" s="396"/>
      <c r="BU3" s="395"/>
      <c r="BV3" s="400"/>
      <c r="BW3" s="402"/>
    </row>
    <row r="4" spans="1:75" s="138" customFormat="1" ht="12.75">
      <c r="A4" s="149">
        <f>Anketa!G6</f>
        <v>0</v>
      </c>
      <c r="B4" s="149" t="str">
        <f>Anketa!G5&amp;" "&amp;Anketa!D5</f>
        <v> </v>
      </c>
      <c r="C4" s="149">
        <f>Anketa!Z11</f>
      </c>
      <c r="D4" s="149" t="e">
        <f>Anketa!#REF!</f>
        <v>#REF!</v>
      </c>
      <c r="E4" s="149" t="e">
        <f>Anketa!#REF!</f>
        <v>#REF!</v>
      </c>
      <c r="F4" s="149">
        <f>IF(Anketa!S13,Anketa!Z13,"")</f>
      </c>
      <c r="G4" s="149">
        <f>IF(Anketa!T13,Anketa!Z13,"")</f>
      </c>
      <c r="H4" s="149" t="e">
        <f>IF(Anketa!#REF!,Anketa!Z13,"")</f>
        <v>#REF!</v>
      </c>
      <c r="I4" s="149">
        <f>IF(Anketa!T15,Anketa!Z15,"")</f>
      </c>
      <c r="J4" s="149" t="e">
        <f>IF(Anketa!#REF!,Anketa!Z15,"")</f>
        <v>#REF!</v>
      </c>
      <c r="K4" s="149" t="e">
        <f>IF(Anketa!#REF!,Anketa!#REF!,"")</f>
        <v>#REF!</v>
      </c>
      <c r="L4" s="149" t="e">
        <f>IF(Anketa!#REF!,Anketa!#REF!,"")</f>
        <v>#REF!</v>
      </c>
      <c r="M4" s="149" t="e">
        <f>IF(Anketa!#REF!,Anketa!#REF!,"")</f>
        <v>#REF!</v>
      </c>
      <c r="N4" s="149" t="e">
        <f>IF(Anketa!#REF!,Anketa!#REF!,"")</f>
        <v>#REF!</v>
      </c>
      <c r="O4" s="149">
        <f>IF(Anketa!S16,Anketa!Z16,"")</f>
      </c>
      <c r="P4" s="149">
        <f>IF(Anketa!T16,Anketa!Z16,"")</f>
      </c>
      <c r="Q4" s="149" t="e">
        <f>IF(Anketa!#REF!,Anketa!Z16,"")</f>
        <v>#REF!</v>
      </c>
      <c r="R4" s="149">
        <f>IF(Anketa!S17,Anketa!Z17,"")</f>
      </c>
      <c r="S4" s="149">
        <f>IF(Anketa!T17,Anketa!Z17,"")</f>
      </c>
      <c r="T4" s="149" t="e">
        <f>IF(Anketa!#REF!,Anketa!#REF!,"")</f>
        <v>#REF!</v>
      </c>
      <c r="U4" s="149" t="e">
        <f>IF(Anketa!#REF!,Anketa!#REF!,"")</f>
        <v>#REF!</v>
      </c>
      <c r="V4" s="149" t="e">
        <f>IF(Anketa!#REF!,Anketa!#REF!,"")</f>
        <v>#REF!</v>
      </c>
      <c r="W4" s="149">
        <f>IF(Anketa!S18,Anketa!Z18,"")</f>
      </c>
      <c r="X4" s="149">
        <f>IF(Anketa!T18,Anketa!Z18,"")</f>
      </c>
      <c r="Y4" s="149">
        <f>IF(Anketa!S19,Anketa!Z19,"")</f>
      </c>
      <c r="Z4" s="149">
        <f>IF(Anketa!T19,Anketa!Z19,"")</f>
      </c>
      <c r="AA4" s="149">
        <f>IF(Anketa!S20,Anketa!Z20,"")</f>
      </c>
      <c r="AB4" s="149">
        <f>IF(Anketa!T20,Anketa!Z20,"")</f>
      </c>
      <c r="AC4" s="149">
        <f>IF(Anketa!S21,Anketa!Z21,"")</f>
      </c>
      <c r="AD4" s="149">
        <f>IF(Anketa!T21,Anketa!Z21,"")</f>
      </c>
      <c r="AE4" s="149" t="e">
        <f>Anketa!#REF!</f>
        <v>#REF!</v>
      </c>
      <c r="AF4" s="149" t="e">
        <f>IF(Anketa!#REF!,Anketa!#REF!,"")</f>
        <v>#REF!</v>
      </c>
      <c r="AG4" s="149" t="e">
        <f>IF(Anketa!#REF!,Anketa!#REF!,"")</f>
        <v>#REF!</v>
      </c>
      <c r="AH4" s="149" t="e">
        <f>IF(Anketa!#REF!,Anketa!#REF!,"")</f>
        <v>#REF!</v>
      </c>
      <c r="AI4" s="149" t="e">
        <f>IF(Anketa!#REF!,Anketa!#REF!,"")</f>
        <v>#REF!</v>
      </c>
      <c r="AJ4" s="149">
        <f>Anketa!Z23</f>
      </c>
      <c r="AK4" s="149" t="e">
        <f>Anketa!#REF!</f>
        <v>#REF!</v>
      </c>
      <c r="AL4" s="149" t="e">
        <f>Anketa!#REF!</f>
        <v>#REF!</v>
      </c>
      <c r="AM4" s="149" t="e">
        <f>Anketa!#REF!</f>
        <v>#REF!</v>
      </c>
      <c r="AN4" s="149" t="e">
        <f>Anketa!#REF!</f>
        <v>#REF!</v>
      </c>
      <c r="AO4" s="149" t="e">
        <f>Anketa!#REF!</f>
        <v>#REF!</v>
      </c>
      <c r="AP4" s="149" t="e">
        <f>Anketa!#REF!</f>
        <v>#REF!</v>
      </c>
      <c r="AQ4" s="149" t="e">
        <f>Anketa!#REF!</f>
        <v>#REF!</v>
      </c>
      <c r="AR4" s="149">
        <f>IF(Anketa!T38,Anketa!Z38,"")</f>
      </c>
      <c r="AS4" s="149">
        <f>IF(Anketa!T39,Anketa!Z39,"")</f>
      </c>
      <c r="AT4" s="149" t="e">
        <f>IF(Anketa!#REF!,Anketa!#REF!,"")</f>
        <v>#REF!</v>
      </c>
      <c r="AU4" s="149" t="e">
        <f>IF(Anketa!#REF!,Anketa!#REF!,"")</f>
        <v>#REF!</v>
      </c>
      <c r="AV4" s="149" t="e">
        <f>Anketa!#REF!</f>
        <v>#REF!</v>
      </c>
      <c r="AW4" s="149" t="e">
        <f>Anketa!#REF!</f>
        <v>#REF!</v>
      </c>
      <c r="AX4" s="149" t="e">
        <f>Anketa!#REF!</f>
        <v>#REF!</v>
      </c>
      <c r="AY4" s="149" t="e">
        <f>Anketa!#REF!</f>
        <v>#REF!</v>
      </c>
      <c r="AZ4" s="149" t="e">
        <f>Anketa!#REF!</f>
        <v>#REF!</v>
      </c>
      <c r="BA4" s="149" t="e">
        <f>Anketa!#REF!</f>
        <v>#REF!</v>
      </c>
      <c r="BB4" s="150" t="e">
        <f>Anketa!#REF!</f>
        <v>#REF!</v>
      </c>
      <c r="BC4" s="149" t="e">
        <f>Anketa!#REF!</f>
        <v>#REF!</v>
      </c>
      <c r="BD4" s="149" t="e">
        <f>Anketa!#REF!</f>
        <v>#REF!</v>
      </c>
      <c r="BE4" s="149" t="e">
        <f>Anketa!#REF!</f>
        <v>#REF!</v>
      </c>
      <c r="BF4" s="149" t="e">
        <f>Anketa!#REF!</f>
        <v>#REF!</v>
      </c>
      <c r="BG4" s="149" t="e">
        <f>Anketa!#REF!</f>
        <v>#REF!</v>
      </c>
      <c r="BH4" s="149" t="e">
        <f>Anketa!#REF!</f>
        <v>#REF!</v>
      </c>
      <c r="BI4" s="149" t="e">
        <f>Anketa!#REF!</f>
        <v>#REF!</v>
      </c>
      <c r="BJ4" s="149" t="e">
        <f>Anketa!#REF!</f>
        <v>#REF!</v>
      </c>
      <c r="BK4" s="149" t="e">
        <f>Anketa!#REF!</f>
        <v>#REF!</v>
      </c>
      <c r="BL4" s="149" t="e">
        <f>Anketa!#REF!</f>
        <v>#REF!</v>
      </c>
      <c r="BM4" s="149">
        <f>Anketa!Z50</f>
        <v>0</v>
      </c>
      <c r="BN4" s="149">
        <f>Anketa!Z51</f>
        <v>0</v>
      </c>
      <c r="BO4" s="149" t="e">
        <f>Anketa!#REF!</f>
        <v>#REF!</v>
      </c>
      <c r="BP4" s="149" t="e">
        <f>Anketa!#REF!</f>
        <v>#REF!</v>
      </c>
      <c r="BQ4" s="149" t="e">
        <f>Anketa!#REF!</f>
        <v>#REF!</v>
      </c>
      <c r="BR4" s="151" t="e">
        <f>Anketa!#REF!</f>
        <v>#REF!</v>
      </c>
      <c r="BS4" s="149" t="e">
        <f>Anketa!#REF!</f>
        <v>#REF!</v>
      </c>
      <c r="BT4" s="149" t="e">
        <f>Anketa!#REF!</f>
        <v>#REF!</v>
      </c>
      <c r="BU4" s="149" t="e">
        <f>SUM(C4:BT4)</f>
        <v>#REF!</v>
      </c>
      <c r="BV4" s="152" t="e">
        <f>Anketa!#REF!</f>
        <v>#REF!</v>
      </c>
      <c r="BW4" s="149" t="e">
        <f>Anketa!#REF!</f>
        <v>#REF!</v>
      </c>
    </row>
  </sheetData>
  <sheetProtection selectLockedCells="1" selectUnlockedCells="1"/>
  <mergeCells count="39">
    <mergeCell ref="A1:A3"/>
    <mergeCell ref="B1:B3"/>
    <mergeCell ref="C1:AQ1"/>
    <mergeCell ref="AR1:BH1"/>
    <mergeCell ref="C2:D2"/>
    <mergeCell ref="F2:F3"/>
    <mergeCell ref="G2:G3"/>
    <mergeCell ref="H2:H3"/>
    <mergeCell ref="I2:N2"/>
    <mergeCell ref="O2:S2"/>
    <mergeCell ref="BV1:BV3"/>
    <mergeCell ref="BW1:BW3"/>
    <mergeCell ref="BJ2:BK2"/>
    <mergeCell ref="BN2:BO2"/>
    <mergeCell ref="BQ2:BR2"/>
    <mergeCell ref="BS2:BS3"/>
    <mergeCell ref="BT2:BT3"/>
    <mergeCell ref="BK1:BR1"/>
    <mergeCell ref="BU1:BU3"/>
    <mergeCell ref="AV2:AV3"/>
    <mergeCell ref="AW2:AW3"/>
    <mergeCell ref="AX2:AX3"/>
    <mergeCell ref="AY2:AY3"/>
    <mergeCell ref="T2:T3"/>
    <mergeCell ref="U2:U3"/>
    <mergeCell ref="V2:V3"/>
    <mergeCell ref="W2:AB2"/>
    <mergeCell ref="AC2:AJ2"/>
    <mergeCell ref="AK2:AO2"/>
    <mergeCell ref="AP2:AQ2"/>
    <mergeCell ref="AR2:AU2"/>
    <mergeCell ref="BG2:BG3"/>
    <mergeCell ref="BH2:BH3"/>
    <mergeCell ref="BA2:BA3"/>
    <mergeCell ref="BB2:BB3"/>
    <mergeCell ref="BC2:BC3"/>
    <mergeCell ref="BD2:BD3"/>
    <mergeCell ref="BE2:BE3"/>
    <mergeCell ref="BF2:BF3"/>
  </mergeCells>
  <printOptions/>
  <pageMargins left="0.39375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rasaz</cp:lastModifiedBy>
  <cp:lastPrinted>2020-04-07T12:47:17Z</cp:lastPrinted>
  <dcterms:created xsi:type="dcterms:W3CDTF">2016-02-03T18:03:50Z</dcterms:created>
  <dcterms:modified xsi:type="dcterms:W3CDTF">2020-04-08T13:14:29Z</dcterms:modified>
  <cp:category/>
  <cp:version/>
  <cp:contentType/>
  <cp:contentStatus/>
</cp:coreProperties>
</file>